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updateLinks="never" codeName="DieseArbeitsmappe"/>
  <mc:AlternateContent xmlns:mc="http://schemas.openxmlformats.org/markup-compatibility/2006">
    <mc:Choice Requires="x15">
      <x15ac:absPath xmlns:x15ac="http://schemas.microsoft.com/office/spreadsheetml/2010/11/ac" url="L:\Vergütung\"/>
    </mc:Choice>
  </mc:AlternateContent>
  <bookViews>
    <workbookView xWindow="0" yWindow="0" windowWidth="26880" windowHeight="12300" tabRatio="924" activeTab="1"/>
  </bookViews>
  <sheets>
    <sheet name="Mod" sheetId="40" r:id="rId1"/>
    <sheet name="Copy &amp; Paste" sheetId="35" r:id="rId2"/>
    <sheet name="Überleitung 113c" sheetId="92" state="hidden" r:id="rId3"/>
    <sheet name="Überleitung 113c_Prüfung" sheetId="93" state="hidden" r:id="rId4"/>
    <sheet name="Bestandsschutz_2023" sheetId="101" r:id="rId5"/>
    <sheet name="Personalmenge 113c" sheetId="99" r:id="rId6"/>
    <sheet name="Übergangsregelung" sheetId="100" r:id="rId7"/>
    <sheet name="Seite 1" sheetId="2" r:id="rId8"/>
    <sheet name="Belegung" sheetId="3" r:id="rId9"/>
    <sheet name="Personalkosten" sheetId="4" r:id="rId10"/>
    <sheet name="Sachkosten" sheetId="5" r:id="rId11"/>
    <sheet name="Personalabgleich I" sheetId="90" state="veryHidden" r:id="rId12"/>
    <sheet name="Personalabgleich II" sheetId="91" state="veryHidden" r:id="rId13"/>
    <sheet name="Berechnungen" sheetId="44" state="hidden" r:id="rId14"/>
    <sheet name="Ergebnis" sheetId="43" r:id="rId15"/>
    <sheet name="Pauschal" sheetId="54" r:id="rId16"/>
    <sheet name="Schaltjahr" sheetId="47" state="hidden" r:id="rId17"/>
    <sheet name="Protokoll" sheetId="53" r:id="rId18"/>
    <sheet name="Kurzzeitpflege" sheetId="83" r:id="rId19"/>
    <sheet name="Ergänzungsvereinbarung 01-2025" sheetId="95" r:id="rId20"/>
    <sheet name=" VV_2024-25" sheetId="94" r:id="rId21"/>
    <sheet name=" VV" sheetId="89" r:id="rId22"/>
    <sheet name=" VV+" sheetId="52" state="hidden" r:id="rId23"/>
    <sheet name="VV KZP fix flex" sheetId="80" r:id="rId24"/>
    <sheet name="VV KZP WTG-Erlass" sheetId="84" r:id="rId25"/>
    <sheet name="Budgetveränderungswert" sheetId="76" state="hidden" r:id="rId26"/>
    <sheet name="84 8 Übersicht" sheetId="57" r:id="rId27"/>
    <sheet name="84 8 Nachweis" sheetId="58" r:id="rId28"/>
    <sheet name="84 8 Angebot" sheetId="59" state="veryHidden" r:id="rId29"/>
    <sheet name="84 8 Vorbereitung" sheetId="60" state="veryHidden" r:id="rId30"/>
    <sheet name="84 9 Nachweis" sheetId="86" state="hidden" r:id="rId31"/>
    <sheet name="VV 84 9" sheetId="88" state="hidden" r:id="rId32"/>
    <sheet name="Vorab 84 9" sheetId="82" state="hidden" r:id="rId33"/>
    <sheet name="84 9 Auszug für Kostenträger" sheetId="87" state="hidden" r:id="rId34"/>
    <sheet name="Abschlussarbeiten" sheetId="33" state="veryHidden"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_xlnm._FilterDatabase" localSheetId="14" hidden="1">Ergebnis!$A$156:$G$587</definedName>
    <definedName name="_xlnm._FilterDatabase" localSheetId="0" hidden="1">Mod!$A$1:$E$126</definedName>
    <definedName name="_xlnm._FilterDatabase" localSheetId="7" hidden="1">'Seite 1'!$J$22:$J$48</definedName>
    <definedName name="aaaa" localSheetId="4" hidden="1">{#N/A,#N/A,FALSE,"Entgelte"}</definedName>
    <definedName name="aaaa" localSheetId="11" hidden="1">{#N/A,#N/A,FALSE,"Entgelte"}</definedName>
    <definedName name="aaaa" localSheetId="12" hidden="1">{#N/A,#N/A,FALSE,"Entgelte"}</definedName>
    <definedName name="aaaa" localSheetId="2" hidden="1">{#N/A,#N/A,FALSE,"Entgelte"}</definedName>
    <definedName name="aaaa" localSheetId="3" hidden="1">{#N/A,#N/A,FALSE,"Entgelte"}</definedName>
    <definedName name="aaaa" hidden="1">{#N/A,#N/A,FALSE,"Entgelte"}</definedName>
    <definedName name="aaaa_1" localSheetId="4" hidden="1">{#N/A,#N/A,FALSE,"Entgelte"}</definedName>
    <definedName name="aaaa_1" localSheetId="11" hidden="1">{#N/A,#N/A,FALSE,"Entgelte"}</definedName>
    <definedName name="aaaa_1" localSheetId="12" hidden="1">{#N/A,#N/A,FALSE,"Entgelte"}</definedName>
    <definedName name="aaaa_1" localSheetId="2" hidden="1">{#N/A,#N/A,FALSE,"Entgelte"}</definedName>
    <definedName name="aaaa_1" localSheetId="3" hidden="1">{#N/A,#N/A,FALSE,"Entgelte"}</definedName>
    <definedName name="aaaa_1" hidden="1">{#N/A,#N/A,FALSE,"Entgelte"}</definedName>
    <definedName name="aaaaaaa" localSheetId="4" hidden="1">{#N/A,#N/A,FALSE,"Entgelte"}</definedName>
    <definedName name="aaaaaaa" localSheetId="11" hidden="1">{#N/A,#N/A,FALSE,"Entgelte"}</definedName>
    <definedName name="aaaaaaa" localSheetId="12" hidden="1">{#N/A,#N/A,FALSE,"Entgelte"}</definedName>
    <definedName name="aaaaaaa" localSheetId="2" hidden="1">{#N/A,#N/A,FALSE,"Entgelte"}</definedName>
    <definedName name="aaaaaaa" localSheetId="3" hidden="1">{#N/A,#N/A,FALSE,"Entgelte"}</definedName>
    <definedName name="aaaaaaa" hidden="1">{#N/A,#N/A,FALSE,"Entgelte"}</definedName>
    <definedName name="aaaaaaa_1" localSheetId="4" hidden="1">{#N/A,#N/A,FALSE,"Entgelte"}</definedName>
    <definedName name="aaaaaaa_1" localSheetId="11" hidden="1">{#N/A,#N/A,FALSE,"Entgelte"}</definedName>
    <definedName name="aaaaaaa_1" localSheetId="12" hidden="1">{#N/A,#N/A,FALSE,"Entgelte"}</definedName>
    <definedName name="aaaaaaa_1" localSheetId="2" hidden="1">{#N/A,#N/A,FALSE,"Entgelte"}</definedName>
    <definedName name="aaaaaaa_1" localSheetId="3" hidden="1">{#N/A,#N/A,FALSE,"Entgelte"}</definedName>
    <definedName name="aaaaaaa_1" hidden="1">{#N/A,#N/A,FALSE,"Entgelte"}</definedName>
    <definedName name="ab" localSheetId="4" hidden="1">{#N/A,#N/A,FALSE,"Entgelte"}</definedName>
    <definedName name="ab" localSheetId="11" hidden="1">{#N/A,#N/A,FALSE,"Entgelte"}</definedName>
    <definedName name="ab" localSheetId="12" hidden="1">{#N/A,#N/A,FALSE,"Entgelte"}</definedName>
    <definedName name="ab" localSheetId="2" hidden="1">{#N/A,#N/A,FALSE,"Entgelte"}</definedName>
    <definedName name="ab" localSheetId="3" hidden="1">{#N/A,#N/A,FALSE,"Entgelte"}</definedName>
    <definedName name="ab" hidden="1">{#N/A,#N/A,FALSE,"Entgelte"}</definedName>
    <definedName name="Abwesenheit" localSheetId="4">Ergebnis!$F$14</definedName>
    <definedName name="Abwesenheit" localSheetId="25">Ergebnis!$F$14</definedName>
    <definedName name="Abwesenheit" localSheetId="2">#REF!</definedName>
    <definedName name="Abwesenheit" localSheetId="3">Ergebnis!$F$14</definedName>
    <definedName name="Abwesenheit">Ergebnis!$F$14</definedName>
    <definedName name="Auslastung" localSheetId="4">Ergebnis!$E$14</definedName>
    <definedName name="Auslastung" localSheetId="25">Ergebnis!$E$14</definedName>
    <definedName name="Auslastung" localSheetId="2">#REF!</definedName>
    <definedName name="Auslastung" localSheetId="3">Ergebnis!$E$14</definedName>
    <definedName name="Auslastung">Ergebnis!$E$14</definedName>
    <definedName name="Berechnungstage" localSheetId="4">Ergebnis!$G$12</definedName>
    <definedName name="Berechnungstage" localSheetId="25">Ergebnis!$G$12</definedName>
    <definedName name="Berechnungstage" localSheetId="2">#REF!</definedName>
    <definedName name="Berechnungstage" localSheetId="3">Ergebnis!$G$12</definedName>
    <definedName name="Berechnungstage">Ergebnis!$G$12</definedName>
    <definedName name="Berechnungstage_2016">'[1]Ergebnis 2'!$G$12</definedName>
    <definedName name="BerTage01">[2]Belegung!$F$23</definedName>
    <definedName name="BerTage01Rest">[3]Belegung!$F$35</definedName>
    <definedName name="BerTage02">[2]Belegung!$F$47</definedName>
    <definedName name="Besonderheit_Auslastung">[4]Eingaben!$AE$1:$AF$4</definedName>
    <definedName name="BT_abgel" localSheetId="4">Belegung!$F$11</definedName>
    <definedName name="BT_abgel" localSheetId="25">Belegung!$F$11</definedName>
    <definedName name="BT_abgel" localSheetId="2">#REF!</definedName>
    <definedName name="BT_abgel" localSheetId="3">Belegung!$F$11</definedName>
    <definedName name="BT_abgel">Belegung!$F$11</definedName>
    <definedName name="BT_lfd" localSheetId="4">Belegung!$F$24</definedName>
    <definedName name="BT_lfd" localSheetId="25">Belegung!$F$24</definedName>
    <definedName name="BT_lfd" localSheetId="2">#REF!</definedName>
    <definedName name="BT_lfd" localSheetId="3">Belegung!$F$24</definedName>
    <definedName name="BT_lfd">Belegung!$F$24</definedName>
    <definedName name="BT_pros" localSheetId="4">Belegung!$F$37</definedName>
    <definedName name="BT_pros" localSheetId="25">Belegung!$F$37</definedName>
    <definedName name="BT_pros" localSheetId="2">#REF!</definedName>
    <definedName name="BT_pros" localSheetId="3">Belegung!$F$37</definedName>
    <definedName name="BT_pros">Belegung!$F$37</definedName>
    <definedName name="Datenbereich" localSheetId="26">'84 8 Übersicht'!$P$1:$R$13</definedName>
    <definedName name="Datenbereich" localSheetId="4">Ergebnis!$A$157:$J$587</definedName>
    <definedName name="Datenbereich" localSheetId="25">Ergebnis!$A$157:$J$587</definedName>
    <definedName name="Datenbereich" localSheetId="2">#REF!</definedName>
    <definedName name="Datenbereich">Ergebnis!$A$157:$J$587</definedName>
    <definedName name="Datenbereich_2">'Seite 1'!$B$156:$C$218</definedName>
    <definedName name="Datenbereich1">[4]Eingaben!$AA$1:$AB$72</definedName>
    <definedName name="Datenbereich2">'Seite 1'!$AA$1:$AB$125</definedName>
    <definedName name="Datenbereich3" localSheetId="20">'[5]Copy &amp; Paste'!#REF!</definedName>
    <definedName name="Datenbereich3" localSheetId="4">'[5]Copy &amp; Paste'!#REF!</definedName>
    <definedName name="Datenbereich3" localSheetId="19">'[5]Copy &amp; Paste'!#REF!</definedName>
    <definedName name="Datenbereich3" localSheetId="3">'[5]Copy &amp; Paste'!#REF!</definedName>
    <definedName name="Datenbereich3">'[5]Copy &amp; Paste'!#REF!</definedName>
    <definedName name="_xlnm.Print_Area" localSheetId="21">' VV'!$A$1:$I$463</definedName>
    <definedName name="_xlnm.Print_Area" localSheetId="20">' VV_2024-25'!$A$1:$I$493</definedName>
    <definedName name="_xlnm.Print_Area" localSheetId="22">' VV+'!$A$1:$I$512</definedName>
    <definedName name="_xlnm.Print_Area" localSheetId="28">'84 8 Angebot'!$A$1:$P$51</definedName>
    <definedName name="_xlnm.Print_Area" localSheetId="27">'84 8 Nachweis'!$A$1:$R$51</definedName>
    <definedName name="_xlnm.Print_Area" localSheetId="26">'84 8 Übersicht'!$A$1:$D$60</definedName>
    <definedName name="_xlnm.Print_Area" localSheetId="29">'84 8 Vorbereitung'!$A$1:$L$70</definedName>
    <definedName name="_xlnm.Print_Area" localSheetId="30">'84 9 Nachweis'!$A$1:$T$54</definedName>
    <definedName name="_xlnm.Print_Area" localSheetId="34">Abschlussarbeiten!$A$1:$G$43</definedName>
    <definedName name="_xlnm.Print_Area" localSheetId="8">Belegung!$B$1:$I$40</definedName>
    <definedName name="_xlnm.Print_Area" localSheetId="13">Berechnungen!$A$1:$J$19</definedName>
    <definedName name="_xlnm.Print_Area" localSheetId="4">Bestandsschutz_2023!$A$1:$G$82</definedName>
    <definedName name="_xlnm.Print_Area" localSheetId="25">Budgetveränderungswert!$B$2:$O$52</definedName>
    <definedName name="_xlnm.Print_Area" localSheetId="1">'Copy &amp; Paste'!$B$4:$J$135</definedName>
    <definedName name="_xlnm.Print_Area" localSheetId="19">'Ergänzungsvereinbarung 01-2025'!$A$21:$I$143</definedName>
    <definedName name="_xlnm.Print_Area" localSheetId="14">Ergebnis!$A$1:$J$86</definedName>
    <definedName name="_xlnm.Print_Area" localSheetId="18">Kurzzeitpflege!$A$1:$I$59</definedName>
    <definedName name="_xlnm.Print_Area" localSheetId="0">Mod!$A$2:$E$111</definedName>
    <definedName name="_xlnm.Print_Area" localSheetId="15">Pauschal!$A$1:$J$44</definedName>
    <definedName name="_xlnm.Print_Area" localSheetId="11">'Personalabgleich I'!$A$1:$G$84</definedName>
    <definedName name="_xlnm.Print_Area" localSheetId="12">'Personalabgleich II'!$A$1:$G$84</definedName>
    <definedName name="_xlnm.Print_Area" localSheetId="9">Personalkosten!$B$1:$K$60</definedName>
    <definedName name="_xlnm.Print_Area" localSheetId="5">'Personalmenge 113c'!$A$1:$G$82</definedName>
    <definedName name="_xlnm.Print_Area" localSheetId="17">Protokoll!$A$1:$F$104</definedName>
    <definedName name="_xlnm.Print_Area" localSheetId="10">Sachkosten!$B$1:$M$64</definedName>
    <definedName name="_xlnm.Print_Area" localSheetId="7">'Seite 1'!$A$1:$I$43</definedName>
    <definedName name="_xlnm.Print_Area" localSheetId="6">Übergangsregelung!$A$1:$G$56</definedName>
    <definedName name="_xlnm.Print_Area" localSheetId="3">'Überleitung 113c_Prüfung'!$A$2:$G$164</definedName>
    <definedName name="_xlnm.Print_Area" localSheetId="32">'Vorab 84 9'!$A$1:$O$88</definedName>
    <definedName name="_xlnm.Print_Area" localSheetId="31">'VV 84 9'!$A$1:$I$267</definedName>
    <definedName name="_xlnm.Print_Area" localSheetId="23">'VV KZP fix flex'!$A$1:$H$204</definedName>
    <definedName name="_xlnm.Print_Area" localSheetId="24">'VV KZP WTG-Erlass'!$A$1:$H$223</definedName>
    <definedName name="_xlnm.Print_Titles" localSheetId="10">Sachkosten!$1:$4</definedName>
    <definedName name="edith" localSheetId="4" hidden="1">{#N/A,#N/A,FALSE,"Entgelte"}</definedName>
    <definedName name="edith" localSheetId="11" hidden="1">{#N/A,#N/A,FALSE,"Entgelte"}</definedName>
    <definedName name="edith" localSheetId="12" hidden="1">{#N/A,#N/A,FALSE,"Entgelte"}</definedName>
    <definedName name="edith" localSheetId="2" hidden="1">{#N/A,#N/A,FALSE,"Entgelte"}</definedName>
    <definedName name="edith" localSheetId="3" hidden="1">{#N/A,#N/A,FALSE,"Entgelte"}</definedName>
    <definedName name="edith" hidden="1">{#N/A,#N/A,FALSE,"Entgelte"}</definedName>
    <definedName name="edith_1" localSheetId="4" hidden="1">{#N/A,#N/A,FALSE,"Entgelte"}</definedName>
    <definedName name="edith_1" localSheetId="11" hidden="1">{#N/A,#N/A,FALSE,"Entgelte"}</definedName>
    <definedName name="edith_1" localSheetId="12" hidden="1">{#N/A,#N/A,FALSE,"Entgelte"}</definedName>
    <definedName name="edith_1" localSheetId="2" hidden="1">{#N/A,#N/A,FALSE,"Entgelte"}</definedName>
    <definedName name="edith_1" localSheetId="3" hidden="1">{#N/A,#N/A,FALSE,"Entgelte"}</definedName>
    <definedName name="edith_1" hidden="1">{#N/A,#N/A,FALSE,"Entgelte"}</definedName>
    <definedName name="erhonwroibjwiro0bhewpaboqe" localSheetId="4" hidden="1">{#N/A,#N/A,FALSE,"Entgelte"}</definedName>
    <definedName name="erhonwroibjwiro0bhewpaboqe" localSheetId="11" hidden="1">{#N/A,#N/A,FALSE,"Entgelte"}</definedName>
    <definedName name="erhonwroibjwiro0bhewpaboqe" localSheetId="12" hidden="1">{#N/A,#N/A,FALSE,"Entgelte"}</definedName>
    <definedName name="erhonwroibjwiro0bhewpaboqe" localSheetId="2" hidden="1">{#N/A,#N/A,FALSE,"Entgelte"}</definedName>
    <definedName name="erhonwroibjwiro0bhewpaboqe" localSheetId="3" hidden="1">{#N/A,#N/A,FALSE,"Entgelte"}</definedName>
    <definedName name="erhonwroibjwiro0bhewpaboqe" hidden="1">{#N/A,#N/A,FALSE,"Entgelte"}</definedName>
    <definedName name="Erlöse" localSheetId="20">#REF!</definedName>
    <definedName name="Erlöse" localSheetId="4">#REF!</definedName>
    <definedName name="Erlöse" localSheetId="19">#REF!</definedName>
    <definedName name="Erlöse" localSheetId="3">#REF!</definedName>
    <definedName name="Erlöse">#REF!</definedName>
    <definedName name="Gewicht" localSheetId="4">Ergebnis!$G$14</definedName>
    <definedName name="Gewicht" localSheetId="25">Ergebnis!$G$14</definedName>
    <definedName name="Gewicht" localSheetId="2">#REF!</definedName>
    <definedName name="Gewicht" localSheetId="3">Ergebnis!$G$14</definedName>
    <definedName name="Gewicht">Ergebnis!$G$14</definedName>
    <definedName name="IK" localSheetId="4">'Copy &amp; Paste'!$G$13</definedName>
    <definedName name="IK" localSheetId="25">'Copy &amp; Paste'!$G$13</definedName>
    <definedName name="IK" localSheetId="2">#REF!</definedName>
    <definedName name="IK" localSheetId="3">'Copy &amp; Paste'!$G$13</definedName>
    <definedName name="IK">'Copy &amp; Paste'!$G$13</definedName>
    <definedName name="Institutionskennzeichen">'[6]Copy &amp; Paste'!$G$13</definedName>
    <definedName name="JokerUV" localSheetId="20">#REF!</definedName>
    <definedName name="JokerUV" localSheetId="4">#REF!</definedName>
    <definedName name="JokerUV" localSheetId="19">#REF!</definedName>
    <definedName name="JokerUV" localSheetId="3">#REF!</definedName>
    <definedName name="JokerUV">#REF!</definedName>
    <definedName name="kkkkkkk" localSheetId="4" hidden="1">{#N/A,#N/A,FALSE,"Entgelte"}</definedName>
    <definedName name="kkkkkkk" localSheetId="11" hidden="1">{#N/A,#N/A,FALSE,"Entgelte"}</definedName>
    <definedName name="kkkkkkk" localSheetId="12" hidden="1">{#N/A,#N/A,FALSE,"Entgelte"}</definedName>
    <definedName name="kkkkkkk" localSheetId="2" hidden="1">{#N/A,#N/A,FALSE,"Entgelte"}</definedName>
    <definedName name="kkkkkkk" localSheetId="3" hidden="1">{#N/A,#N/A,FALSE,"Entgelte"}</definedName>
    <definedName name="kkkkkkk" hidden="1">{#N/A,#N/A,FALSE,"Entgelte"}</definedName>
    <definedName name="kkkkkkk_1" localSheetId="4" hidden="1">{#N/A,#N/A,FALSE,"Entgelte"}</definedName>
    <definedName name="kkkkkkk_1" localSheetId="11" hidden="1">{#N/A,#N/A,FALSE,"Entgelte"}</definedName>
    <definedName name="kkkkkkk_1" localSheetId="12" hidden="1">{#N/A,#N/A,FALSE,"Entgelte"}</definedName>
    <definedName name="kkkkkkk_1" localSheetId="2" hidden="1">{#N/A,#N/A,FALSE,"Entgelte"}</definedName>
    <definedName name="kkkkkkk_1" localSheetId="3" hidden="1">{#N/A,#N/A,FALSE,"Entgelte"}</definedName>
    <definedName name="kkkkkkk_1" hidden="1">{#N/A,#N/A,FALSE,"Entgelte"}</definedName>
    <definedName name="kkkkkkkkkkkkk" localSheetId="4" hidden="1">{#N/A,#N/A,FALSE,"Entgelte"}</definedName>
    <definedName name="kkkkkkkkkkkkk" localSheetId="11" hidden="1">{#N/A,#N/A,FALSE,"Entgelte"}</definedName>
    <definedName name="kkkkkkkkkkkkk" localSheetId="12" hidden="1">{#N/A,#N/A,FALSE,"Entgelte"}</definedName>
    <definedName name="kkkkkkkkkkkkk" localSheetId="2" hidden="1">{#N/A,#N/A,FALSE,"Entgelte"}</definedName>
    <definedName name="kkkkkkkkkkkkk" localSheetId="3" hidden="1">{#N/A,#N/A,FALSE,"Entgelte"}</definedName>
    <definedName name="kkkkkkkkkkkkk" hidden="1">{#N/A,#N/A,FALSE,"Entgelte"}</definedName>
    <definedName name="kkkkkkkkkkkkk_1" localSheetId="4" hidden="1">{#N/A,#N/A,FALSE,"Entgelte"}</definedName>
    <definedName name="kkkkkkkkkkkkk_1" localSheetId="11" hidden="1">{#N/A,#N/A,FALSE,"Entgelte"}</definedName>
    <definedName name="kkkkkkkkkkkkk_1" localSheetId="12" hidden="1">{#N/A,#N/A,FALSE,"Entgelte"}</definedName>
    <definedName name="kkkkkkkkkkkkk_1" localSheetId="2" hidden="1">{#N/A,#N/A,FALSE,"Entgelte"}</definedName>
    <definedName name="kkkkkkkkkkkkk_1" localSheetId="3" hidden="1">{#N/A,#N/A,FALSE,"Entgelte"}</definedName>
    <definedName name="kkkkkkkkkkkkk_1" hidden="1">{#N/A,#N/A,FALSE,"Entgelte"}</definedName>
    <definedName name="Kontakte" localSheetId="4">#REF!:#REF!</definedName>
    <definedName name="Kontakte" localSheetId="25">#REF!:#REF!</definedName>
    <definedName name="Kontakte" localSheetId="2">#REF!:#REF!</definedName>
    <definedName name="Kontakte" localSheetId="3">#REF!:#REF!</definedName>
    <definedName name="Kontakte">#REF!:#REF!</definedName>
    <definedName name="Kurzzeitpflege" localSheetId="4">'[7]84 8 Übersicht'!$D$16</definedName>
    <definedName name="Kurzzeitpflege" localSheetId="25">'84 8 Übersicht'!$D$16</definedName>
    <definedName name="Kurzzeitpflege" localSheetId="2">#REF!</definedName>
    <definedName name="Kurzzeitpflege" localSheetId="3">'[8]Übersicht + Berechnung'!$D$16</definedName>
    <definedName name="Kurzzeitpflege">'84 8 Übersicht'!$D$16</definedName>
    <definedName name="KwEuro">'[3]Seite 1'!$A$2</definedName>
    <definedName name="KzP">Protokoll!$AC$1:$AD$27</definedName>
    <definedName name="Landesteil" localSheetId="4">Ergebnis!$C$2</definedName>
    <definedName name="Landesteil" localSheetId="25">Ergebnis!$C$2</definedName>
    <definedName name="Landesteil" localSheetId="2">#REF!</definedName>
    <definedName name="Landesteil" localSheetId="3">Ergebnis!$C$2</definedName>
    <definedName name="Landesteil">Ergebnis!$C$2</definedName>
    <definedName name="MatrixBerechnungstage" localSheetId="20">#REF!</definedName>
    <definedName name="MatrixBerechnungstage" localSheetId="4">#REF!</definedName>
    <definedName name="MatrixBerechnungstage" localSheetId="19">#REF!</definedName>
    <definedName name="MatrixBerechnungstage" localSheetId="3">#REF!</definedName>
    <definedName name="MatrixBerechnungstage">#REF!</definedName>
    <definedName name="Multiplikator">'Seite 1'!$G$15</definedName>
    <definedName name="Name" localSheetId="4">'Seite 1'!$C$5</definedName>
    <definedName name="Name" localSheetId="25">'Seite 1'!$C$5</definedName>
    <definedName name="Name" localSheetId="2">#REF!</definedName>
    <definedName name="Name" localSheetId="3">'Seite 1'!$C$5</definedName>
    <definedName name="Name">'Seite 1'!$C$5</definedName>
    <definedName name="Name2">'Seite 1'!$C$6</definedName>
    <definedName name="neu" localSheetId="4" hidden="1">{#N/A,#N/A,FALSE,"Entgelte"}</definedName>
    <definedName name="neu" localSheetId="11" hidden="1">{#N/A,#N/A,FALSE,"Entgelte"}</definedName>
    <definedName name="neu" localSheetId="12" hidden="1">{#N/A,#N/A,FALSE,"Entgelte"}</definedName>
    <definedName name="neu" localSheetId="2" hidden="1">{#N/A,#N/A,FALSE,"Entgelte"}</definedName>
    <definedName name="neu" localSheetId="3" hidden="1">{#N/A,#N/A,FALSE,"Entgelte"}</definedName>
    <definedName name="neu" hidden="1">{#N/A,#N/A,FALSE,"Entgelte"}</definedName>
    <definedName name="neu_1" localSheetId="4" hidden="1">{#N/A,#N/A,FALSE,"Entgelte"}</definedName>
    <definedName name="neu_1" localSheetId="11" hidden="1">{#N/A,#N/A,FALSE,"Entgelte"}</definedName>
    <definedName name="neu_1" localSheetId="12" hidden="1">{#N/A,#N/A,FALSE,"Entgelte"}</definedName>
    <definedName name="neu_1" localSheetId="2" hidden="1">{#N/A,#N/A,FALSE,"Entgelte"}</definedName>
    <definedName name="neu_1" localSheetId="3" hidden="1">{#N/A,#N/A,FALSE,"Entgelte"}</definedName>
    <definedName name="neu_1" hidden="1">{#N/A,#N/A,FALSE,"Entgelte"}</definedName>
    <definedName name="Öffnungstage_Jahr">'[6]Ergebnis 2'!$I$13</definedName>
    <definedName name="Öffnungstage_Woche">'[6]Seite 1'!$B$13</definedName>
    <definedName name="Öffnungszeit">'[6]Ergebnis 2'!$I$14</definedName>
    <definedName name="öö" localSheetId="4" hidden="1">{#N/A,#N/A,FALSE,"Entgelte"}</definedName>
    <definedName name="öö" localSheetId="11" hidden="1">{#N/A,#N/A,FALSE,"Entgelte"}</definedName>
    <definedName name="öö" localSheetId="12" hidden="1">{#N/A,#N/A,FALSE,"Entgelte"}</definedName>
    <definedName name="öö" localSheetId="2" hidden="1">{#N/A,#N/A,FALSE,"Entgelte"}</definedName>
    <definedName name="öö" localSheetId="3" hidden="1">{#N/A,#N/A,FALSE,"Entgelte"}</definedName>
    <definedName name="öö" hidden="1">{#N/A,#N/A,FALSE,"Entgelte"}</definedName>
    <definedName name="Orientierungswert_2016">'[5]Ergebnis 2'!$G$59</definedName>
    <definedName name="Ort" localSheetId="4">'Seite 1'!$D$8</definedName>
    <definedName name="Ort" localSheetId="2">#REF!</definedName>
    <definedName name="Ort">'Seite 1'!$D$8</definedName>
    <definedName name="Ort_Einrichtung" localSheetId="26">'84 8 Übersicht'!$D$6</definedName>
    <definedName name="Ort_Einrichtung">[9]Eingaben!$C$8</definedName>
    <definedName name="Ort_Traeger">[10]Eingaben!$F$8</definedName>
    <definedName name="Ort_Träger" localSheetId="26">'84 8 Übersicht'!$D$10</definedName>
    <definedName name="Ort_Träger" localSheetId="4">'Seite 1'!$G$8</definedName>
    <definedName name="Ort_Träger" localSheetId="25">'Seite 1'!$G$8</definedName>
    <definedName name="Ort_Träger" localSheetId="2">#REF!</definedName>
    <definedName name="Ort_Träger">'Seite 1'!$G$8</definedName>
    <definedName name="Pauschal?">'Seite 1'!$B$15</definedName>
    <definedName name="Pauschale" localSheetId="20">#REF!</definedName>
    <definedName name="Pauschale" localSheetId="4">#REF!</definedName>
    <definedName name="Pauschale" localSheetId="19">#REF!</definedName>
    <definedName name="Pauschale" localSheetId="3">#REF!</definedName>
    <definedName name="Pauschale">#REF!</definedName>
    <definedName name="Platzzahl" localSheetId="4">'Seite 1'!$I$11</definedName>
    <definedName name="Platzzahl" localSheetId="25">'Seite 1'!$I$11</definedName>
    <definedName name="Platzzahl" localSheetId="2">#REF!</definedName>
    <definedName name="Platzzahl" localSheetId="3">'Seite 1'!$I$11</definedName>
    <definedName name="Platzzahl">'Seite 1'!$I$11</definedName>
    <definedName name="PLZ">'Seite 1'!$C$8</definedName>
    <definedName name="PLZ_Heim" localSheetId="20">'[6]Copy &amp; Paste'!#REF!</definedName>
    <definedName name="PLZ_Heim" localSheetId="4">'[6]Copy &amp; Paste'!#REF!</definedName>
    <definedName name="PLZ_Heim" localSheetId="19">'[6]Copy &amp; Paste'!#REF!</definedName>
    <definedName name="PLZ_Heim" localSheetId="3">'[6]Copy &amp; Paste'!#REF!</definedName>
    <definedName name="PLZ_Heim">'[6]Copy &amp; Paste'!#REF!</definedName>
    <definedName name="PLZ_Träger" localSheetId="20">'[6]Copy &amp; Paste'!#REF!</definedName>
    <definedName name="PLZ_Träger" localSheetId="19">'[6]Copy &amp; Paste'!#REF!</definedName>
    <definedName name="PLZ_Träger" localSheetId="3">'[6]Copy &amp; Paste'!#REF!</definedName>
    <definedName name="PLZ_Träger">'[6]Copy &amp; Paste'!#REF!</definedName>
    <definedName name="Preislistennummer" localSheetId="4">'[11]§ 132 a SGB V '!$O$1:$P$43</definedName>
    <definedName name="Preislistennummer" localSheetId="25">#REF!</definedName>
    <definedName name="Preislistennummer" localSheetId="3">'[12]§ 132 a SGB V '!$O$1:$P$43</definedName>
    <definedName name="Preislistennummer">'[11]§ 132 a SGB V '!$O$1:$P$43</definedName>
    <definedName name="Schaltjahr">[4]Personalabgleich!$Q$1:$R$13</definedName>
    <definedName name="Schaltjahr2" localSheetId="4">Schaltjahr!$A$1:$B$27</definedName>
    <definedName name="Schaltjahr2" localSheetId="25">Schaltjahr!$A$1:$B$27</definedName>
    <definedName name="Schaltjahr2" localSheetId="2">#REF!</definedName>
    <definedName name="Schaltjahr2" localSheetId="3">Schaltjahr!$A$1:$B$27</definedName>
    <definedName name="Schaltjahr2">Schaltjahr!$A$1:$B$27</definedName>
    <definedName name="SKAbgaben_in_Euro" localSheetId="20">INDIRECT(ADDRESS(30+EingabeSKistDM,8,1,1,"Sachkosten"))</definedName>
    <definedName name="SKAbgaben_in_Euro" localSheetId="4">INDIRECT(ADDRESS(30+EingabeSKistDM,8,1,1,"Sachkosten"))</definedName>
    <definedName name="SKAbgaben_in_Euro" localSheetId="19">INDIRECT(ADDRESS(30+EingabeSKistDM,8,1,1,"Sachkosten"))</definedName>
    <definedName name="SKAbgaben_in_Euro" localSheetId="3">INDIRECT(ADDRESS(30+EingabeSKistDM,8,1,1,"Sachkosten"))</definedName>
    <definedName name="SKAbgaben_in_Euro">INDIRECT(ADDRESS(30+EingabeSKistDM,8,1,1,"Sachkosten"))</definedName>
    <definedName name="SKAltenpflegeumlage_in_Euro" localSheetId="20">INDIRECT(ADDRESS(32+EingabeSKistDM,8,1,1,"Sachkosten"))</definedName>
    <definedName name="SKAltenpflegeumlage_in_Euro" localSheetId="4">INDIRECT(ADDRESS(32+EingabeSKistDM,8,1,1,"Sachkosten"))</definedName>
    <definedName name="SKAltenpflegeumlage_in_Euro" localSheetId="19">INDIRECT(ADDRESS(32+EingabeSKistDM,8,1,1,"Sachkosten"))</definedName>
    <definedName name="SKAltenpflegeumlage_in_Euro" localSheetId="3">INDIRECT(ADDRESS(32+EingabeSKistDM,8,1,1,"Sachkosten"))</definedName>
    <definedName name="SKAltenpflegeumlage_in_Euro">INDIRECT(ADDRESS(32+EingabeSKistDM,8,1,1,"Sachkosten"))</definedName>
    <definedName name="SKEnergie_in_Euro" localSheetId="20">INDIRECT(ADDRESS(8+EingabeSKistDM,8,1,1,"Sachkosten"))</definedName>
    <definedName name="SKEnergie_in_Euro" localSheetId="4">INDIRECT(ADDRESS(8+EingabeSKistDM,8,1,1,"Sachkosten"))</definedName>
    <definedName name="SKEnergie_in_Euro" localSheetId="19">INDIRECT(ADDRESS(8+EingabeSKistDM,8,1,1,"Sachkosten"))</definedName>
    <definedName name="SKEnergie_in_Euro" localSheetId="3">INDIRECT(ADDRESS(8+EingabeSKistDM,8,1,1,"Sachkosten"))</definedName>
    <definedName name="SKEnergie_in_Euro">INDIRECT(ADDRESS(8+EingabeSKistDM,8,1,1,"Sachkosten"))</definedName>
    <definedName name="SKFahrzeuge_in_Euro" localSheetId="20">INDIRECT(ADDRESS(18+EingabeSKistDM,8,1,1,"Sachkosten"))</definedName>
    <definedName name="SKFahrzeuge_in_Euro" localSheetId="4">INDIRECT(ADDRESS(18+EingabeSKistDM,8,1,1,"Sachkosten"))</definedName>
    <definedName name="SKFahrzeuge_in_Euro" localSheetId="19">INDIRECT(ADDRESS(18+EingabeSKistDM,8,1,1,"Sachkosten"))</definedName>
    <definedName name="SKFahrzeuge_in_Euro" localSheetId="3">INDIRECT(ADDRESS(18+EingabeSKistDM,8,1,1,"Sachkosten"))</definedName>
    <definedName name="SKFahrzeuge_in_Euro">INDIRECT(ADDRESS(18+EingabeSKistDM,8,1,1,"Sachkosten"))</definedName>
    <definedName name="SKHaustechnik_in_Euro" localSheetId="20">INDIRECT(ADDRESS(16+EingabeSKistDM,8,1,1,"Sachkosten"))</definedName>
    <definedName name="SKHaustechnik_in_Euro" localSheetId="4">INDIRECT(ADDRESS(16+EingabeSKistDM,8,1,1,"Sachkosten"))</definedName>
    <definedName name="SKHaustechnik_in_Euro" localSheetId="19">INDIRECT(ADDRESS(16+EingabeSKistDM,8,1,1,"Sachkosten"))</definedName>
    <definedName name="SKHaustechnik_in_Euro" localSheetId="3">INDIRECT(ADDRESS(16+EingabeSKistDM,8,1,1,"Sachkosten"))</definedName>
    <definedName name="SKHaustechnik_in_Euro">INDIRECT(ADDRESS(16+EingabeSKistDM,8,1,1,"Sachkosten"))</definedName>
    <definedName name="SKLebensmittel_in_Euro" localSheetId="20">INDIRECT(ADDRESS(4+EingabeSKistDM,8,1,1,"Sachkosten"))</definedName>
    <definedName name="SKLebensmittel_in_Euro" localSheetId="4">INDIRECT(ADDRESS(4+EingabeSKistDM,8,1,1,"Sachkosten"))</definedName>
    <definedName name="SKLebensmittel_in_Euro" localSheetId="19">INDIRECT(ADDRESS(4+EingabeSKistDM,8,1,1,"Sachkosten"))</definedName>
    <definedName name="SKLebensmittel_in_Euro" localSheetId="3">INDIRECT(ADDRESS(4+EingabeSKistDM,8,1,1,"Sachkosten"))</definedName>
    <definedName name="SKLebensmittel_in_Euro">INDIRECT(ADDRESS(4+EingabeSKistDM,8,1,1,"Sachkosten"))</definedName>
    <definedName name="SKLebensmittel_PKAnteil_in_Euro" localSheetId="20">INDIRECT(ADDRESS(6+EingabeSKistDM,8,1,1,"Sachkosten"))</definedName>
    <definedName name="SKLebensmittel_PKAnteil_in_Euro" localSheetId="4">INDIRECT(ADDRESS(6+EingabeSKistDM,8,1,1,"Sachkosten"))</definedName>
    <definedName name="SKLebensmittel_PKAnteil_in_Euro" localSheetId="19">INDIRECT(ADDRESS(6+EingabeSKistDM,8,1,1,"Sachkosten"))</definedName>
    <definedName name="SKLebensmittel_PKAnteil_in_Euro" localSheetId="3">INDIRECT(ADDRESS(6+EingabeSKistDM,8,1,1,"Sachkosten"))</definedName>
    <definedName name="SKLebensmittel_PKAnteil_in_Euro">INDIRECT(ADDRESS(6+EingabeSKistDM,8,1,1,"Sachkosten"))</definedName>
    <definedName name="SKPflegebedarf_in_Euro" localSheetId="20">INDIRECT(ADDRESS(22+EingabeSKistDM,8,1,1,"Sachkosten"))</definedName>
    <definedName name="SKPflegebedarf_in_Euro" localSheetId="4">INDIRECT(ADDRESS(22+EingabeSKistDM,8,1,1,"Sachkosten"))</definedName>
    <definedName name="SKPflegebedarf_in_Euro" localSheetId="19">INDIRECT(ADDRESS(22+EingabeSKistDM,8,1,1,"Sachkosten"))</definedName>
    <definedName name="SKPflegebedarf_in_Euro" localSheetId="3">INDIRECT(ADDRESS(22+EingabeSKistDM,8,1,1,"Sachkosten"))</definedName>
    <definedName name="SKPflegebedarf_in_Euro">INDIRECT(ADDRESS(22+EingabeSKistDM,8,1,1,"Sachkosten"))</definedName>
    <definedName name="SKReinigung_in_Euro" localSheetId="20">INDIRECT(ADDRESS(12+EingabeSKistDM,8,1,1,"Sachkosten"))</definedName>
    <definedName name="SKReinigung_in_Euro" localSheetId="4">INDIRECT(ADDRESS(12+EingabeSKistDM,8,1,1,"Sachkosten"))</definedName>
    <definedName name="SKReinigung_in_Euro" localSheetId="19">INDIRECT(ADDRESS(12+EingabeSKistDM,8,1,1,"Sachkosten"))</definedName>
    <definedName name="SKReinigung_in_Euro" localSheetId="3">INDIRECT(ADDRESS(12+EingabeSKistDM,8,1,1,"Sachkosten"))</definedName>
    <definedName name="SKReinigung_in_Euro">INDIRECT(ADDRESS(12+EingabeSKistDM,8,1,1,"Sachkosten"))</definedName>
    <definedName name="SKSonstiges_in_Euro" localSheetId="20">INDIRECT(ADDRESS(36+EingabeSKistDM,8,1,1,"Sachkosten"))</definedName>
    <definedName name="SKSonstiges_in_Euro" localSheetId="4">INDIRECT(ADDRESS(36+EingabeSKistDM,8,1,1,"Sachkosten"))</definedName>
    <definedName name="SKSonstiges_in_Euro" localSheetId="19">INDIRECT(ADDRESS(36+EingabeSKistDM,8,1,1,"Sachkosten"))</definedName>
    <definedName name="SKSonstiges_in_Euro" localSheetId="3">INDIRECT(ADDRESS(36+EingabeSKistDM,8,1,1,"Sachkosten"))</definedName>
    <definedName name="SKSonstiges_in_Euro">INDIRECT(ADDRESS(36+EingabeSKistDM,8,1,1,"Sachkosten"))</definedName>
    <definedName name="SKSozBetreuung_in_Euro" localSheetId="20">INDIRECT(ADDRESS(20+EingabeSKistDM,8,1,1,"Sachkosten"))</definedName>
    <definedName name="SKSozBetreuung_in_Euro" localSheetId="4">INDIRECT(ADDRESS(20+EingabeSKistDM,8,1,1,"Sachkosten"))</definedName>
    <definedName name="SKSozBetreuung_in_Euro" localSheetId="19">INDIRECT(ADDRESS(20+EingabeSKistDM,8,1,1,"Sachkosten"))</definedName>
    <definedName name="SKSozBetreuung_in_Euro" localSheetId="3">INDIRECT(ADDRESS(20+EingabeSKistDM,8,1,1,"Sachkosten"))</definedName>
    <definedName name="SKSozBetreuung_in_Euro">INDIRECT(ADDRESS(20+EingabeSKistDM,8,1,1,"Sachkosten"))</definedName>
    <definedName name="SKVerbrauchsgüter_in_Euro" localSheetId="20">INDIRECT(ADDRESS(28+EingabeSKistDM,8,1,1,"Sachkosten"))</definedName>
    <definedName name="SKVerbrauchsgüter_in_Euro" localSheetId="4">INDIRECT(ADDRESS(28+EingabeSKistDM,8,1,1,"Sachkosten"))</definedName>
    <definedName name="SKVerbrauchsgüter_in_Euro" localSheetId="19">INDIRECT(ADDRESS(28+EingabeSKistDM,8,1,1,"Sachkosten"))</definedName>
    <definedName name="SKVerbrauchsgüter_in_Euro" localSheetId="3">INDIRECT(ADDRESS(28+EingabeSKistDM,8,1,1,"Sachkosten"))</definedName>
    <definedName name="SKVerbrauchsgüter_in_Euro">INDIRECT(ADDRESS(28+EingabeSKistDM,8,1,1,"Sachkosten"))</definedName>
    <definedName name="SKVerwaltungsbedarf_in_Euro" localSheetId="20">INDIRECT(ADDRESS(24+EingabeSKistDM,8,1,1,"Sachkosten"))</definedName>
    <definedName name="SKVerwaltungsbedarf_in_Euro" localSheetId="4">INDIRECT(ADDRESS(24+EingabeSKistDM,8,1,1,"Sachkosten"))</definedName>
    <definedName name="SKVerwaltungsbedarf_in_Euro" localSheetId="19">INDIRECT(ADDRESS(24+EingabeSKistDM,8,1,1,"Sachkosten"))</definedName>
    <definedName name="SKVerwaltungsbedarf_in_Euro" localSheetId="3">INDIRECT(ADDRESS(24+EingabeSKistDM,8,1,1,"Sachkosten"))</definedName>
    <definedName name="SKVerwaltungsbedarf_in_Euro">INDIRECT(ADDRESS(24+EingabeSKistDM,8,1,1,"Sachkosten"))</definedName>
    <definedName name="SKVerwaltungsbedarf_PKUmlage_in_Euro" localSheetId="20">INDIRECT(ADDRESS(26+EingabeSKistDM,8,1,1,"Sachkosten"))</definedName>
    <definedName name="SKVerwaltungsbedarf_PKUmlage_in_Euro" localSheetId="4">INDIRECT(ADDRESS(26+EingabeSKistDM,8,1,1,"Sachkosten"))</definedName>
    <definedName name="SKVerwaltungsbedarf_PKUmlage_in_Euro" localSheetId="19">INDIRECT(ADDRESS(26+EingabeSKistDM,8,1,1,"Sachkosten"))</definedName>
    <definedName name="SKVerwaltungsbedarf_PKUmlage_in_Euro" localSheetId="3">INDIRECT(ADDRESS(26+EingabeSKistDM,8,1,1,"Sachkosten"))</definedName>
    <definedName name="SKVerwaltungsbedarf_PKUmlage_in_Euro">INDIRECT(ADDRESS(26+EingabeSKistDM,8,1,1,"Sachkosten"))</definedName>
    <definedName name="SKWartung_in_Euro" localSheetId="20">INDIRECT(ADDRESS(34+EingabeSKistDM,8,1,1,"Sachkosten"))</definedName>
    <definedName name="SKWartung_in_Euro" localSheetId="4">INDIRECT(ADDRESS(34+EingabeSKistDM,8,1,1,"Sachkosten"))</definedName>
    <definedName name="SKWartung_in_Euro" localSheetId="19">INDIRECT(ADDRESS(34+EingabeSKistDM,8,1,1,"Sachkosten"))</definedName>
    <definedName name="SKWartung_in_Euro" localSheetId="3">INDIRECT(ADDRESS(34+EingabeSKistDM,8,1,1,"Sachkosten"))</definedName>
    <definedName name="SKWartung_in_Euro">INDIRECT(ADDRESS(34+EingabeSKistDM,8,1,1,"Sachkosten"))</definedName>
    <definedName name="SKWäscherei_in_Euro" localSheetId="20">INDIRECT(ADDRESS(14+EingabeSKistDM,8,1,1,"Sachkosten"))</definedName>
    <definedName name="SKWäscherei_in_Euro" localSheetId="4">INDIRECT(ADDRESS(14+EingabeSKistDM,8,1,1,"Sachkosten"))</definedName>
    <definedName name="SKWäscherei_in_Euro" localSheetId="19">INDIRECT(ADDRESS(14+EingabeSKistDM,8,1,1,"Sachkosten"))</definedName>
    <definedName name="SKWäscherei_in_Euro" localSheetId="3">INDIRECT(ADDRESS(14+EingabeSKistDM,8,1,1,"Sachkosten"))</definedName>
    <definedName name="SKWäscherei_in_Euro">INDIRECT(ADDRESS(14+EingabeSKistDM,8,1,1,"Sachkosten"))</definedName>
    <definedName name="SKWirtschaftsbedarf_in_Euro" localSheetId="20">INDIRECT(ADDRESS(10+EingabeSKistDM,8,1,1,"Sachkosten"))</definedName>
    <definedName name="SKWirtschaftsbedarf_in_Euro" localSheetId="4">INDIRECT(ADDRESS(10+EingabeSKistDM,8,1,1,"Sachkosten"))</definedName>
    <definedName name="SKWirtschaftsbedarf_in_Euro" localSheetId="19">INDIRECT(ADDRESS(10+EingabeSKistDM,8,1,1,"Sachkosten"))</definedName>
    <definedName name="SKWirtschaftsbedarf_in_Euro" localSheetId="3">INDIRECT(ADDRESS(10+EingabeSKistDM,8,1,1,"Sachkosten"))</definedName>
    <definedName name="SKWirtschaftsbedarf_in_Euro">INDIRECT(ADDRESS(10+EingabeSKistDM,8,1,1,"Sachkosten"))</definedName>
    <definedName name="Straße">'Seite 1'!$C$7</definedName>
    <definedName name="SVW">Ergebnis!$AE$3:$AK$10</definedName>
    <definedName name="test" localSheetId="4" hidden="1">{#N/A,#N/A,FALSE,"Entgelte"}</definedName>
    <definedName name="test" localSheetId="11" hidden="1">{#N/A,#N/A,FALSE,"Entgelte"}</definedName>
    <definedName name="test" localSheetId="12" hidden="1">{#N/A,#N/A,FALSE,"Entgelte"}</definedName>
    <definedName name="test" localSheetId="2" hidden="1">{#N/A,#N/A,FALSE,"Entgelte"}</definedName>
    <definedName name="test" localSheetId="3" hidden="1">{#N/A,#N/A,FALSE,"Entgelte"}</definedName>
    <definedName name="test" hidden="1">{#N/A,#N/A,FALSE,"Entgelte"}</definedName>
    <definedName name="test_1" localSheetId="4" hidden="1">{#N/A,#N/A,FALSE,"Entgelte"}</definedName>
    <definedName name="test_1" localSheetId="11" hidden="1">{#N/A,#N/A,FALSE,"Entgelte"}</definedName>
    <definedName name="test_1" localSheetId="12" hidden="1">{#N/A,#N/A,FALSE,"Entgelte"}</definedName>
    <definedName name="test_1" localSheetId="2" hidden="1">{#N/A,#N/A,FALSE,"Entgelte"}</definedName>
    <definedName name="test_1" localSheetId="3" hidden="1">{#N/A,#N/A,FALSE,"Entgelte"}</definedName>
    <definedName name="test_1" hidden="1">{#N/A,#N/A,FALSE,"Entgelte"}</definedName>
    <definedName name="Träger" localSheetId="4">'Seite 1'!$F$5</definedName>
    <definedName name="Träger" localSheetId="25">'Seite 1'!$F$5</definedName>
    <definedName name="Träger" localSheetId="2">#REF!</definedName>
    <definedName name="Träger" localSheetId="3">'Seite 1'!$F$5</definedName>
    <definedName name="Träger">'Seite 1'!$F$5</definedName>
    <definedName name="Träger2" localSheetId="4">'Seite 1'!$F$6</definedName>
    <definedName name="Träger2" localSheetId="25">'Seite 1'!$F$6</definedName>
    <definedName name="Träger2" localSheetId="2">#REF!</definedName>
    <definedName name="Träger2" localSheetId="3">'Seite 1'!$F$6</definedName>
    <definedName name="Träger2">'Seite 1'!$F$6</definedName>
    <definedName name="Vergleichstage">'[6]Ergebnis 2'!$G$59</definedName>
    <definedName name="VergütungssatzPK0" localSheetId="20">#REF!</definedName>
    <definedName name="VergütungssatzPK0" localSheetId="4">#REF!</definedName>
    <definedName name="VergütungssatzPK0" localSheetId="19">#REF!</definedName>
    <definedName name="VergütungssatzPK0" localSheetId="3">#REF!</definedName>
    <definedName name="VergütungssatzPK0">#REF!</definedName>
    <definedName name="VergütungssatzPK1" localSheetId="20">#REF!</definedName>
    <definedName name="VergütungssatzPK1" localSheetId="4">#REF!</definedName>
    <definedName name="VergütungssatzPK1" localSheetId="19">#REF!</definedName>
    <definedName name="VergütungssatzPK1" localSheetId="3">#REF!</definedName>
    <definedName name="VergütungssatzPK1">#REF!</definedName>
    <definedName name="VergütungssatzPK2" localSheetId="20">#REF!</definedName>
    <definedName name="VergütungssatzPK2" localSheetId="4">#REF!</definedName>
    <definedName name="VergütungssatzPK2" localSheetId="19">#REF!</definedName>
    <definedName name="VergütungssatzPK2" localSheetId="3">#REF!</definedName>
    <definedName name="VergütungssatzPK2">#REF!</definedName>
    <definedName name="VergütungssatzPK3" localSheetId="20">#REF!</definedName>
    <definedName name="VergütungssatzPK3" localSheetId="4">#REF!</definedName>
    <definedName name="VergütungssatzPK3" localSheetId="19">#REF!</definedName>
    <definedName name="VergütungssatzPK3" localSheetId="3">#REF!</definedName>
    <definedName name="VergütungssatzPK3">#REF!</definedName>
    <definedName name="VergütungsvereinbarungII" localSheetId="4" hidden="1">{#N/A,#N/A,FALSE,"Entgelte"}</definedName>
    <definedName name="VergütungsvereinbarungII" localSheetId="11" hidden="1">{#N/A,#N/A,FALSE,"Entgelte"}</definedName>
    <definedName name="VergütungsvereinbarungII" localSheetId="12" hidden="1">{#N/A,#N/A,FALSE,"Entgelte"}</definedName>
    <definedName name="VergütungsvereinbarungII" localSheetId="2" hidden="1">{#N/A,#N/A,FALSE,"Entgelte"}</definedName>
    <definedName name="VergütungsvereinbarungII" localSheetId="3" hidden="1">{#N/A,#N/A,FALSE,"Entgelte"}</definedName>
    <definedName name="VergütungsvereinbarungII" hidden="1">{#N/A,#N/A,FALSE,"Entgelte"}</definedName>
    <definedName name="VS_InvestKosten" localSheetId="20">#REF!</definedName>
    <definedName name="VS_InvestKosten" localSheetId="4">#REF!</definedName>
    <definedName name="VS_InvestKosten" localSheetId="19">#REF!</definedName>
    <definedName name="VS_InvestKosten" localSheetId="3">#REF!</definedName>
    <definedName name="VS_InvestKosten">#REF!</definedName>
    <definedName name="VS_InvestKosten_in_Euro" localSheetId="20">#REF!</definedName>
    <definedName name="VS_InvestKosten_in_Euro" localSheetId="4">#REF!</definedName>
    <definedName name="VS_InvestKosten_in_Euro" localSheetId="19">#REF!</definedName>
    <definedName name="VS_InvestKosten_in_Euro" localSheetId="3">#REF!</definedName>
    <definedName name="VS_InvestKosten_in_Euro">#REF!</definedName>
    <definedName name="VS_UV" localSheetId="20">#REF!</definedName>
    <definedName name="VS_UV" localSheetId="4">#REF!</definedName>
    <definedName name="VS_UV" localSheetId="19">#REF!</definedName>
    <definedName name="VS_UV" localSheetId="3">#REF!</definedName>
    <definedName name="VS_UV">#REF!</definedName>
    <definedName name="wrn.verknüpfung." localSheetId="4" hidden="1">{#N/A,#N/A,FALSE,"Entgelte"}</definedName>
    <definedName name="wrn.verknüpfung." localSheetId="11" hidden="1">{#N/A,#N/A,FALSE,"Entgelte"}</definedName>
    <definedName name="wrn.verknüpfung." localSheetId="12" hidden="1">{#N/A,#N/A,FALSE,"Entgelte"}</definedName>
    <definedName name="wrn.verknüpfung." localSheetId="2" hidden="1">{#N/A,#N/A,FALSE,"Entgelte"}</definedName>
    <definedName name="wrn.verknüpfung." localSheetId="3" hidden="1">{#N/A,#N/A,FALSE,"Entgelte"}</definedName>
    <definedName name="wrn.verknüpfung." hidden="1">{#N/A,#N/A,FALSE,"Entgelte"}</definedName>
    <definedName name="wrn.verknüpfung._1" localSheetId="4" hidden="1">{#N/A,#N/A,FALSE,"Entgelte"}</definedName>
    <definedName name="wrn.verknüpfung._1" localSheetId="11" hidden="1">{#N/A,#N/A,FALSE,"Entgelte"}</definedName>
    <definedName name="wrn.verknüpfung._1" localSheetId="12" hidden="1">{#N/A,#N/A,FALSE,"Entgelte"}</definedName>
    <definedName name="wrn.verknüpfung._1" localSheetId="2" hidden="1">{#N/A,#N/A,FALSE,"Entgelte"}</definedName>
    <definedName name="wrn.verknüpfung._1" localSheetId="3" hidden="1">{#N/A,#N/A,FALSE,"Entgelte"}</definedName>
    <definedName name="wrn.verknüpfung._1" hidden="1">{#N/A,#N/A,FALSE,"Entgelte"}</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101" l="1"/>
  <c r="G92" i="99" l="1"/>
  <c r="H33" i="43" l="1"/>
  <c r="E63" i="101" l="1"/>
  <c r="E62" i="101"/>
  <c r="E61" i="101"/>
  <c r="D63" i="101"/>
  <c r="D62" i="101"/>
  <c r="D61" i="101"/>
  <c r="C63" i="101"/>
  <c r="C62" i="101"/>
  <c r="C61" i="101"/>
  <c r="B61" i="101"/>
  <c r="B62" i="101"/>
  <c r="B63" i="101"/>
  <c r="A63" i="101"/>
  <c r="A62" i="101"/>
  <c r="A61" i="101"/>
  <c r="A50" i="101" l="1"/>
  <c r="G46" i="101"/>
  <c r="G34" i="101"/>
  <c r="G22" i="101"/>
  <c r="C18" i="101"/>
  <c r="J13" i="101"/>
  <c r="K10" i="101"/>
  <c r="C32" i="101" s="1"/>
  <c r="K9" i="101"/>
  <c r="K8" i="101"/>
  <c r="C19" i="101" s="1"/>
  <c r="K7" i="101"/>
  <c r="C31" i="101" s="1"/>
  <c r="C34" i="101" s="1"/>
  <c r="K6" i="101"/>
  <c r="C43" i="101" s="1"/>
  <c r="G36" i="101" l="1"/>
  <c r="C44" i="101"/>
  <c r="C46" i="101" s="1"/>
  <c r="G48" i="101" s="1"/>
  <c r="A26" i="101" l="1"/>
  <c r="G25" i="4" l="1"/>
  <c r="G44" i="4" s="1"/>
  <c r="E25" i="4"/>
  <c r="E44" i="4" s="1"/>
  <c r="D25" i="4"/>
  <c r="D44" i="4" s="1"/>
  <c r="G34" i="99" l="1"/>
  <c r="G12" i="100" l="1"/>
  <c r="G11" i="100"/>
  <c r="G46" i="99"/>
  <c r="G14" i="100"/>
  <c r="C24" i="43"/>
  <c r="C23" i="43"/>
  <c r="G23" i="4"/>
  <c r="F27" i="43" s="1"/>
  <c r="G21" i="4"/>
  <c r="F26" i="43" s="1"/>
  <c r="D52" i="100" s="1"/>
  <c r="G19" i="4"/>
  <c r="F25" i="43" s="1"/>
  <c r="D51" i="100" s="1"/>
  <c r="E23" i="4"/>
  <c r="H23" i="4" s="1"/>
  <c r="D23" i="4"/>
  <c r="E21" i="4"/>
  <c r="D21" i="4"/>
  <c r="E19" i="4"/>
  <c r="D19" i="4"/>
  <c r="G17" i="4"/>
  <c r="E17" i="4"/>
  <c r="D17" i="4"/>
  <c r="A22" i="4"/>
  <c r="A26" i="4"/>
  <c r="G22" i="4"/>
  <c r="E22" i="4"/>
  <c r="H22" i="4" s="1"/>
  <c r="D22" i="4"/>
  <c r="G20" i="4"/>
  <c r="E20" i="4"/>
  <c r="D20" i="4"/>
  <c r="F20" i="4" s="1"/>
  <c r="G18" i="4"/>
  <c r="E18" i="4"/>
  <c r="D18" i="4"/>
  <c r="H20" i="4" l="1"/>
  <c r="G32" i="100"/>
  <c r="C22" i="101"/>
  <c r="G24" i="101" s="1"/>
  <c r="E27" i="43"/>
  <c r="E90" i="43" s="1"/>
  <c r="E25" i="43"/>
  <c r="E88" i="43" s="1"/>
  <c r="E26" i="43"/>
  <c r="E89" i="43" s="1"/>
  <c r="F23" i="43"/>
  <c r="A83" i="53" s="1"/>
  <c r="F24" i="43"/>
  <c r="A84" i="53" s="1"/>
  <c r="F18" i="4"/>
  <c r="D25" i="43"/>
  <c r="G22" i="99"/>
  <c r="B84" i="53"/>
  <c r="D178" i="89"/>
  <c r="C178" i="89"/>
  <c r="F23" i="4"/>
  <c r="H18" i="4"/>
  <c r="F19" i="4"/>
  <c r="H19" i="4"/>
  <c r="F21" i="4"/>
  <c r="D53" i="100"/>
  <c r="G13" i="100"/>
  <c r="G15" i="100" s="1"/>
  <c r="F22" i="4"/>
  <c r="H21" i="4"/>
  <c r="H17" i="4"/>
  <c r="F17" i="4"/>
  <c r="J31" i="43"/>
  <c r="G24" i="43" l="1"/>
  <c r="I24" i="43" s="1"/>
  <c r="A75" i="80" l="1"/>
  <c r="F132" i="92" l="1"/>
  <c r="E132" i="92"/>
  <c r="D132" i="92"/>
  <c r="C132" i="92"/>
  <c r="B132" i="92"/>
  <c r="F121" i="92"/>
  <c r="E38" i="92"/>
  <c r="D29" i="92"/>
  <c r="B278" i="94" l="1"/>
  <c r="B276" i="94"/>
  <c r="G274" i="94"/>
  <c r="B242" i="94"/>
  <c r="B240" i="94"/>
  <c r="G238" i="94"/>
  <c r="A104" i="95" l="1"/>
  <c r="A103" i="95"/>
  <c r="E98" i="95"/>
  <c r="E97" i="95"/>
  <c r="E96" i="95"/>
  <c r="E95" i="95"/>
  <c r="E94" i="95"/>
  <c r="H4" i="95"/>
  <c r="H8" i="95"/>
  <c r="H7" i="95"/>
  <c r="H6" i="95"/>
  <c r="H5" i="95"/>
  <c r="E13" i="95" l="1"/>
  <c r="E15" i="95"/>
  <c r="E14" i="95"/>
  <c r="E16" i="95" s="1"/>
  <c r="E17" i="95" s="1"/>
  <c r="H97" i="95"/>
  <c r="H96" i="95"/>
  <c r="H95" i="95"/>
  <c r="H94" i="95"/>
  <c r="G134" i="95"/>
  <c r="H37" i="95"/>
  <c r="A35" i="95"/>
  <c r="H33" i="95"/>
  <c r="A26" i="95"/>
  <c r="J12" i="54" l="1"/>
  <c r="G465" i="94" l="1"/>
  <c r="A424" i="94"/>
  <c r="A419" i="94"/>
  <c r="A414" i="94"/>
  <c r="B381" i="94"/>
  <c r="B372" i="94"/>
  <c r="B367" i="94"/>
  <c r="B366" i="94"/>
  <c r="D173" i="94"/>
  <c r="C173" i="94"/>
  <c r="D171" i="94"/>
  <c r="C171" i="94"/>
  <c r="B169" i="94"/>
  <c r="B168" i="94"/>
  <c r="B138" i="94"/>
  <c r="B105" i="94"/>
  <c r="B103" i="94"/>
  <c r="B80" i="94"/>
  <c r="A58" i="94"/>
  <c r="H15" i="94"/>
  <c r="A13" i="94"/>
  <c r="H11" i="94"/>
  <c r="A4" i="94"/>
  <c r="D36" i="4" l="1"/>
  <c r="D35" i="4"/>
  <c r="E36" i="4"/>
  <c r="E35" i="4"/>
  <c r="D100" i="93"/>
  <c r="B100" i="93"/>
  <c r="B51" i="93" l="1"/>
  <c r="B50" i="93"/>
  <c r="E132" i="93"/>
  <c r="D132" i="93"/>
  <c r="E131" i="93"/>
  <c r="D131" i="93"/>
  <c r="C143" i="93" s="1"/>
  <c r="E130" i="93"/>
  <c r="D130" i="93"/>
  <c r="E129" i="93"/>
  <c r="D129" i="93"/>
  <c r="C141" i="93" s="1"/>
  <c r="E128" i="93"/>
  <c r="D128" i="93"/>
  <c r="C118" i="93"/>
  <c r="B122" i="93" s="1"/>
  <c r="C111" i="93"/>
  <c r="C112" i="93"/>
  <c r="C149" i="93" s="1"/>
  <c r="B34" i="93"/>
  <c r="B9" i="93"/>
  <c r="F130" i="93" l="1"/>
  <c r="F131" i="93"/>
  <c r="C142" i="93"/>
  <c r="F129" i="93"/>
  <c r="C113" i="93"/>
  <c r="D160" i="93" s="1"/>
  <c r="B123" i="93"/>
  <c r="B124" i="93" s="1"/>
  <c r="F128" i="93"/>
  <c r="F132" i="93"/>
  <c r="C140" i="93"/>
  <c r="C144" i="93"/>
  <c r="F133" i="93" l="1"/>
  <c r="D159" i="93"/>
  <c r="C124" i="93"/>
  <c r="F134" i="93"/>
  <c r="F135" i="93" l="1"/>
  <c r="G134" i="93"/>
  <c r="D139" i="93" l="1"/>
  <c r="D141" i="93"/>
  <c r="E141" i="93" s="1"/>
  <c r="C153" i="93" s="1"/>
  <c r="D142" i="93"/>
  <c r="E142" i="93" s="1"/>
  <c r="C154" i="93" s="1"/>
  <c r="D140" i="93"/>
  <c r="E140" i="93" s="1"/>
  <c r="C152" i="93" s="1"/>
  <c r="D143" i="93"/>
  <c r="E143" i="93" s="1"/>
  <c r="C155" i="93" s="1"/>
  <c r="D144" i="93"/>
  <c r="E144" i="93" s="1"/>
  <c r="C156" i="93" s="1"/>
  <c r="D11" i="54" l="1"/>
  <c r="C54" i="54"/>
  <c r="D54" i="54" s="1"/>
  <c r="G54" i="54" s="1"/>
  <c r="C53" i="54"/>
  <c r="D53" i="54" s="1"/>
  <c r="F53" i="54" s="1"/>
  <c r="C52" i="54"/>
  <c r="D52" i="54" s="1"/>
  <c r="C51" i="54"/>
  <c r="D51" i="54" s="1"/>
  <c r="C50" i="54"/>
  <c r="D50" i="54" s="1"/>
  <c r="D49" i="54"/>
  <c r="F49" i="54" s="1"/>
  <c r="F50" i="54" l="1"/>
  <c r="G50" i="54"/>
  <c r="G49" i="54"/>
  <c r="F51" i="54"/>
  <c r="F55" i="54" s="1"/>
  <c r="F52" i="54"/>
  <c r="G52" i="54"/>
  <c r="D55" i="54"/>
  <c r="A87" i="53"/>
  <c r="A86" i="53"/>
  <c r="A85" i="53" l="1"/>
  <c r="B33" i="54"/>
  <c r="B32" i="54"/>
  <c r="G51" i="54"/>
  <c r="G55" i="54" s="1"/>
  <c r="E13" i="92"/>
  <c r="C13" i="92"/>
  <c r="F127" i="92"/>
  <c r="E127" i="92"/>
  <c r="D127" i="92"/>
  <c r="C127" i="92"/>
  <c r="B127" i="92"/>
  <c r="F126" i="92"/>
  <c r="E126" i="92"/>
  <c r="D126" i="92"/>
  <c r="C126" i="92"/>
  <c r="B126" i="92"/>
  <c r="F125" i="92"/>
  <c r="E125" i="92"/>
  <c r="D125" i="92"/>
  <c r="C125" i="92"/>
  <c r="B125" i="92"/>
  <c r="F85" i="92"/>
  <c r="E85" i="92"/>
  <c r="D85" i="92"/>
  <c r="C85" i="92"/>
  <c r="B85" i="92"/>
  <c r="F84" i="92"/>
  <c r="E84" i="92"/>
  <c r="D84" i="92"/>
  <c r="C84" i="92"/>
  <c r="B84" i="92"/>
  <c r="F83" i="92"/>
  <c r="E83" i="92"/>
  <c r="D83" i="92"/>
  <c r="C83" i="92"/>
  <c r="B83" i="92"/>
  <c r="F82" i="92"/>
  <c r="E82" i="92"/>
  <c r="D82" i="92"/>
  <c r="C82" i="92"/>
  <c r="B82" i="92"/>
  <c r="D67" i="92"/>
  <c r="H73" i="92" s="1"/>
  <c r="D53" i="92"/>
  <c r="D54" i="92" l="1"/>
  <c r="D55" i="92" s="1"/>
  <c r="D30" i="92"/>
  <c r="D31" i="92" s="1"/>
  <c r="B34" i="54"/>
  <c r="G83" i="92"/>
  <c r="G84" i="92"/>
  <c r="G82" i="92"/>
  <c r="G85" i="92" s="1"/>
  <c r="H87" i="92" l="1"/>
  <c r="F94" i="92" s="1"/>
  <c r="D68" i="93" s="1"/>
  <c r="B101" i="92" l="1"/>
  <c r="F100" i="92"/>
  <c r="E100" i="92"/>
  <c r="F99" i="92"/>
  <c r="E99" i="92"/>
  <c r="D101" i="92"/>
  <c r="F101" i="92"/>
  <c r="B99" i="92"/>
  <c r="E101" i="92"/>
  <c r="C101" i="92"/>
  <c r="C99" i="92"/>
  <c r="D100" i="92"/>
  <c r="C100" i="92"/>
  <c r="B100" i="92"/>
  <c r="D99" i="92"/>
  <c r="D190" i="89" l="1"/>
  <c r="D187" i="94"/>
  <c r="H190" i="89"/>
  <c r="H187" i="94"/>
  <c r="H193" i="89"/>
  <c r="H190" i="94"/>
  <c r="D192" i="89"/>
  <c r="D189" i="94"/>
  <c r="D191" i="89"/>
  <c r="D188" i="94"/>
  <c r="F193" i="89"/>
  <c r="F190" i="94"/>
  <c r="F191" i="89"/>
  <c r="F188" i="94"/>
  <c r="H192" i="89"/>
  <c r="H189" i="94"/>
  <c r="D189" i="89"/>
  <c r="D186" i="94"/>
  <c r="H191" i="89"/>
  <c r="H188" i="94"/>
  <c r="D193" i="89"/>
  <c r="D190" i="94"/>
  <c r="F192" i="89"/>
  <c r="F189" i="94"/>
  <c r="F189" i="89"/>
  <c r="F186" i="94"/>
  <c r="F190" i="89"/>
  <c r="F187" i="94"/>
  <c r="H189" i="89"/>
  <c r="H186" i="94"/>
  <c r="D7" i="91"/>
  <c r="B7" i="91"/>
  <c r="C19" i="91" s="1"/>
  <c r="F5" i="91"/>
  <c r="D7" i="90"/>
  <c r="B7" i="90"/>
  <c r="C19" i="90" s="1"/>
  <c r="F5" i="90"/>
  <c r="D64" i="91"/>
  <c r="C49" i="91"/>
  <c r="E39" i="91"/>
  <c r="D39" i="91"/>
  <c r="C51" i="91" s="1"/>
  <c r="E38" i="91"/>
  <c r="D38" i="91"/>
  <c r="E37" i="91"/>
  <c r="D37" i="91"/>
  <c r="E36" i="91"/>
  <c r="D36" i="91"/>
  <c r="E35" i="91"/>
  <c r="D35" i="91"/>
  <c r="C47" i="91" s="1"/>
  <c r="C25" i="91"/>
  <c r="C18" i="91"/>
  <c r="C18" i="90"/>
  <c r="C25" i="90"/>
  <c r="B29" i="90"/>
  <c r="B30" i="90" s="1"/>
  <c r="D35" i="90"/>
  <c r="F35" i="90" s="1"/>
  <c r="E35" i="90"/>
  <c r="D36" i="90"/>
  <c r="E36" i="90"/>
  <c r="D37" i="90"/>
  <c r="C49" i="90" s="1"/>
  <c r="E37" i="90"/>
  <c r="D38" i="90"/>
  <c r="C50" i="90" s="1"/>
  <c r="E38" i="90"/>
  <c r="D39" i="90"/>
  <c r="C51" i="90" s="1"/>
  <c r="E39" i="90"/>
  <c r="D64" i="90"/>
  <c r="C47" i="90" l="1"/>
  <c r="F37" i="90"/>
  <c r="F37" i="91"/>
  <c r="F36" i="90"/>
  <c r="C20" i="90"/>
  <c r="D67" i="90" s="1"/>
  <c r="F38" i="90"/>
  <c r="F35" i="91"/>
  <c r="C20" i="91"/>
  <c r="D67" i="91" s="1"/>
  <c r="C56" i="90"/>
  <c r="D65" i="90" s="1"/>
  <c r="D68" i="90" s="1"/>
  <c r="F38" i="91"/>
  <c r="C56" i="91"/>
  <c r="D65" i="91" s="1"/>
  <c r="F36" i="91"/>
  <c r="C50" i="91"/>
  <c r="C48" i="91"/>
  <c r="B29" i="91"/>
  <c r="F39" i="91"/>
  <c r="C48" i="90"/>
  <c r="F39" i="90"/>
  <c r="B31" i="90"/>
  <c r="F40" i="91" l="1"/>
  <c r="F40" i="90"/>
  <c r="F41" i="90" s="1"/>
  <c r="E68" i="90"/>
  <c r="E68" i="91"/>
  <c r="D68" i="91"/>
  <c r="B30" i="91"/>
  <c r="B31" i="91" s="1"/>
  <c r="G41" i="90"/>
  <c r="F42" i="90"/>
  <c r="C31" i="90"/>
  <c r="D66" i="90"/>
  <c r="C31" i="91" l="1"/>
  <c r="D66" i="91"/>
  <c r="F41" i="91"/>
  <c r="D46" i="90"/>
  <c r="D49" i="90"/>
  <c r="E49" i="90" s="1"/>
  <c r="C61" i="90" s="1"/>
  <c r="E61" i="90" s="1"/>
  <c r="D48" i="90"/>
  <c r="E48" i="90" s="1"/>
  <c r="C60" i="90" s="1"/>
  <c r="E60" i="90" s="1"/>
  <c r="D51" i="90"/>
  <c r="E51" i="90" s="1"/>
  <c r="C63" i="90" s="1"/>
  <c r="E63" i="90" s="1"/>
  <c r="D47" i="90"/>
  <c r="E47" i="90" s="1"/>
  <c r="C59" i="90" s="1"/>
  <c r="E59" i="90" s="1"/>
  <c r="E64" i="90" s="1"/>
  <c r="E71" i="90" s="1"/>
  <c r="E78" i="90" s="1"/>
  <c r="E82" i="90" s="1"/>
  <c r="B82" i="90" s="1"/>
  <c r="D50" i="90"/>
  <c r="E50" i="90" s="1"/>
  <c r="C62" i="90" s="1"/>
  <c r="E62" i="90" s="1"/>
  <c r="G41" i="91" l="1"/>
  <c r="F42" i="91"/>
  <c r="D49" i="91" l="1"/>
  <c r="E49" i="91" s="1"/>
  <c r="C61" i="91" s="1"/>
  <c r="E61" i="91" s="1"/>
  <c r="D46" i="91"/>
  <c r="D47" i="91"/>
  <c r="E47" i="91" s="1"/>
  <c r="C59" i="91" s="1"/>
  <c r="E59" i="91" s="1"/>
  <c r="E64" i="91" s="1"/>
  <c r="E71" i="91" s="1"/>
  <c r="E78" i="91" s="1"/>
  <c r="E82" i="91" s="1"/>
  <c r="B82" i="91" s="1"/>
  <c r="D51" i="91"/>
  <c r="E51" i="91" s="1"/>
  <c r="C63" i="91" s="1"/>
  <c r="E63" i="91" s="1"/>
  <c r="D50" i="91"/>
  <c r="E50" i="91" s="1"/>
  <c r="C62" i="91" s="1"/>
  <c r="E62" i="91" s="1"/>
  <c r="D48" i="91"/>
  <c r="E48" i="91" s="1"/>
  <c r="C60" i="91" s="1"/>
  <c r="E60" i="91" s="1"/>
  <c r="A197" i="88" l="1"/>
  <c r="A194" i="88"/>
  <c r="A191" i="88"/>
  <c r="K30" i="58" l="1"/>
  <c r="Z39" i="86" l="1"/>
  <c r="AA39" i="86" s="1"/>
  <c r="Z38" i="86"/>
  <c r="AA38" i="86" s="1"/>
  <c r="Z37" i="86"/>
  <c r="AA37" i="86" s="1"/>
  <c r="Z35" i="86"/>
  <c r="AA35" i="86" s="1"/>
  <c r="Z36" i="86"/>
  <c r="AA36" i="86" s="1"/>
  <c r="AD30" i="86"/>
  <c r="Y40" i="86"/>
  <c r="X40" i="86"/>
  <c r="D7" i="86"/>
  <c r="Z40" i="86" l="1"/>
  <c r="AA40" i="86" s="1"/>
  <c r="AB35" i="86" s="1"/>
  <c r="AB40" i="86" s="1"/>
  <c r="Y41" i="86"/>
  <c r="F6" i="86"/>
  <c r="E31" i="3"/>
  <c r="E32" i="3"/>
  <c r="E33" i="3"/>
  <c r="E34" i="3"/>
  <c r="E35" i="3"/>
  <c r="I11" i="2"/>
  <c r="D31" i="3"/>
  <c r="D32" i="3"/>
  <c r="D33" i="3"/>
  <c r="D34" i="3"/>
  <c r="D35" i="3"/>
  <c r="C12" i="2"/>
  <c r="G36" i="4"/>
  <c r="H36" i="4" s="1"/>
  <c r="G35" i="4"/>
  <c r="E28" i="43" s="1"/>
  <c r="G435" i="89"/>
  <c r="A394" i="89"/>
  <c r="A389" i="89"/>
  <c r="A384" i="89"/>
  <c r="B352" i="89"/>
  <c r="B343" i="89"/>
  <c r="B338" i="89"/>
  <c r="B337" i="89"/>
  <c r="B138" i="89"/>
  <c r="B105" i="89"/>
  <c r="B103" i="89"/>
  <c r="B80" i="89"/>
  <c r="A58" i="89"/>
  <c r="H15" i="89"/>
  <c r="A13" i="89"/>
  <c r="H11" i="89"/>
  <c r="A4" i="89"/>
  <c r="K1" i="88"/>
  <c r="A3" i="88" s="1"/>
  <c r="G240" i="88"/>
  <c r="H14" i="88"/>
  <c r="A12" i="88"/>
  <c r="H10" i="88"/>
  <c r="S44" i="86"/>
  <c r="N2" i="87" s="1"/>
  <c r="S43" i="86"/>
  <c r="M2" i="87" s="1"/>
  <c r="S42" i="86"/>
  <c r="L2" i="87" s="1"/>
  <c r="G2" i="87"/>
  <c r="D2" i="87"/>
  <c r="C2" i="87"/>
  <c r="A2" i="87"/>
  <c r="B2" i="87"/>
  <c r="U47" i="86"/>
  <c r="T44" i="86"/>
  <c r="T43" i="86"/>
  <c r="T42" i="86"/>
  <c r="O35" i="86"/>
  <c r="C68" i="53" s="1"/>
  <c r="A68" i="82" s="1"/>
  <c r="I35" i="86"/>
  <c r="L35" i="86" s="1"/>
  <c r="P35" i="86"/>
  <c r="T34" i="86"/>
  <c r="S34" i="86"/>
  <c r="Q34" i="86"/>
  <c r="M34" i="86"/>
  <c r="K34" i="86"/>
  <c r="T33" i="86"/>
  <c r="S33" i="86"/>
  <c r="Q33" i="86"/>
  <c r="M33" i="86"/>
  <c r="K33" i="86"/>
  <c r="T32" i="86"/>
  <c r="S32" i="86"/>
  <c r="Q32" i="86"/>
  <c r="M32" i="86"/>
  <c r="K32" i="86"/>
  <c r="T31" i="86"/>
  <c r="S31" i="86"/>
  <c r="Q31" i="86"/>
  <c r="M31" i="86"/>
  <c r="K31" i="86"/>
  <c r="T30" i="86"/>
  <c r="S30" i="86"/>
  <c r="Q30" i="86"/>
  <c r="M30" i="86"/>
  <c r="K30" i="86"/>
  <c r="T29" i="86"/>
  <c r="S29" i="86"/>
  <c r="Q29" i="86"/>
  <c r="M29" i="86"/>
  <c r="K29" i="86"/>
  <c r="T28" i="86"/>
  <c r="S28" i="86"/>
  <c r="Q28" i="86"/>
  <c r="M28" i="86"/>
  <c r="K28" i="86"/>
  <c r="T27" i="86"/>
  <c r="S27" i="86"/>
  <c r="Q27" i="86"/>
  <c r="M27" i="86"/>
  <c r="K27" i="86"/>
  <c r="T26" i="86"/>
  <c r="S26" i="86"/>
  <c r="Q26" i="86"/>
  <c r="M26" i="86"/>
  <c r="K26" i="86"/>
  <c r="T25" i="86"/>
  <c r="S25" i="86"/>
  <c r="Q25" i="86"/>
  <c r="M25" i="86"/>
  <c r="K25" i="86"/>
  <c r="T24" i="86"/>
  <c r="S24" i="86"/>
  <c r="Q24" i="86"/>
  <c r="M24" i="86"/>
  <c r="K24" i="86"/>
  <c r="T23" i="86"/>
  <c r="S23" i="86"/>
  <c r="Q23" i="86"/>
  <c r="M23" i="86"/>
  <c r="K23" i="86"/>
  <c r="T22" i="86"/>
  <c r="S22" i="86"/>
  <c r="Q22" i="86"/>
  <c r="M22" i="86"/>
  <c r="K22" i="86"/>
  <c r="T21" i="86"/>
  <c r="S21" i="86"/>
  <c r="Q21" i="86"/>
  <c r="M21" i="86"/>
  <c r="K21" i="86"/>
  <c r="T20" i="86"/>
  <c r="S20" i="86"/>
  <c r="Q20" i="86"/>
  <c r="M20" i="86"/>
  <c r="K20" i="86"/>
  <c r="T19" i="86"/>
  <c r="S19" i="86"/>
  <c r="Q19" i="86"/>
  <c r="M19" i="86"/>
  <c r="K19" i="86"/>
  <c r="T18" i="86"/>
  <c r="S18" i="86"/>
  <c r="Q18" i="86"/>
  <c r="M18" i="86"/>
  <c r="K18" i="86"/>
  <c r="T17" i="86"/>
  <c r="S17" i="86"/>
  <c r="Q17" i="86"/>
  <c r="M17" i="86"/>
  <c r="K17" i="86"/>
  <c r="T16" i="86"/>
  <c r="S16" i="86"/>
  <c r="Q16" i="86"/>
  <c r="M16" i="86"/>
  <c r="K16" i="86"/>
  <c r="T15" i="86"/>
  <c r="S15" i="86"/>
  <c r="Q15" i="86"/>
  <c r="M15" i="86"/>
  <c r="K15" i="86"/>
  <c r="R8" i="86"/>
  <c r="S8" i="86" s="1"/>
  <c r="L8" i="86"/>
  <c r="M10" i="86"/>
  <c r="J41" i="57"/>
  <c r="J45" i="57" s="1"/>
  <c r="F34" i="35"/>
  <c r="D34" i="35"/>
  <c r="G74" i="43"/>
  <c r="F32" i="35"/>
  <c r="G32" i="2" s="1"/>
  <c r="M51" i="43"/>
  <c r="M47" i="43"/>
  <c r="M45" i="43"/>
  <c r="M42" i="43"/>
  <c r="M41" i="43"/>
  <c r="M40" i="43"/>
  <c r="M36" i="43"/>
  <c r="B25" i="54"/>
  <c r="G29" i="2"/>
  <c r="G30" i="2"/>
  <c r="F29" i="2"/>
  <c r="F30" i="2"/>
  <c r="E29" i="2"/>
  <c r="E30" i="2"/>
  <c r="D29" i="2"/>
  <c r="D30" i="2"/>
  <c r="G33" i="2"/>
  <c r="G22" i="2"/>
  <c r="G21" i="2"/>
  <c r="F22" i="2"/>
  <c r="F21" i="2"/>
  <c r="E22" i="2"/>
  <c r="E21" i="2"/>
  <c r="D22" i="2"/>
  <c r="D21" i="2"/>
  <c r="G31" i="2"/>
  <c r="G28" i="2"/>
  <c r="G27" i="2"/>
  <c r="G26" i="2"/>
  <c r="G25" i="2"/>
  <c r="G24" i="2"/>
  <c r="G23" i="2"/>
  <c r="F31" i="2"/>
  <c r="F28" i="2"/>
  <c r="F27" i="2"/>
  <c r="F26" i="2"/>
  <c r="F25" i="2"/>
  <c r="F24" i="2"/>
  <c r="F23" i="2"/>
  <c r="E32" i="2"/>
  <c r="E31" i="2"/>
  <c r="E28" i="2"/>
  <c r="E27" i="2"/>
  <c r="E26" i="2"/>
  <c r="E25" i="2"/>
  <c r="E24" i="2"/>
  <c r="E23" i="2"/>
  <c r="D32" i="2"/>
  <c r="D31" i="2"/>
  <c r="D28" i="2"/>
  <c r="D27" i="2"/>
  <c r="D26" i="2"/>
  <c r="D25" i="2"/>
  <c r="D24" i="2"/>
  <c r="D23" i="2"/>
  <c r="AJ5" i="43"/>
  <c r="AI5" i="43"/>
  <c r="AH5" i="43"/>
  <c r="AG5" i="43"/>
  <c r="AF5" i="43"/>
  <c r="AJ4" i="43"/>
  <c r="AI4" i="43"/>
  <c r="AE9" i="43"/>
  <c r="AH4" i="43"/>
  <c r="AG4" i="43"/>
  <c r="AF4" i="43"/>
  <c r="I1" i="84"/>
  <c r="A64" i="84" s="1"/>
  <c r="I1" i="80"/>
  <c r="B49" i="60"/>
  <c r="B45" i="60"/>
  <c r="A21" i="53"/>
  <c r="W19" i="43"/>
  <c r="W11" i="43" s="1"/>
  <c r="V19" i="43"/>
  <c r="V11" i="43" s="1"/>
  <c r="X3" i="43"/>
  <c r="W3" i="43" s="1"/>
  <c r="V3" i="43" s="1"/>
  <c r="AE4" i="43" s="1"/>
  <c r="W10" i="43"/>
  <c r="V10" i="43"/>
  <c r="H70" i="54"/>
  <c r="H28" i="54" s="1"/>
  <c r="G29" i="83" s="1"/>
  <c r="B26" i="54"/>
  <c r="K28" i="54"/>
  <c r="J84" i="43"/>
  <c r="B48" i="60"/>
  <c r="B44" i="60"/>
  <c r="A356" i="52"/>
  <c r="A351" i="52"/>
  <c r="A346" i="52"/>
  <c r="A2" i="53"/>
  <c r="D32" i="53"/>
  <c r="F43" i="33"/>
  <c r="D43" i="33"/>
  <c r="F108" i="43"/>
  <c r="F101" i="43"/>
  <c r="B16" i="3"/>
  <c r="B54" i="35"/>
  <c r="D4" i="4"/>
  <c r="H11" i="84"/>
  <c r="A82" i="84"/>
  <c r="A77" i="84"/>
  <c r="H16" i="84"/>
  <c r="A14" i="84"/>
  <c r="G211" i="84"/>
  <c r="C43" i="33"/>
  <c r="A43" i="33"/>
  <c r="C11" i="33"/>
  <c r="A10" i="33"/>
  <c r="E4" i="83"/>
  <c r="B27" i="83"/>
  <c r="F10" i="83"/>
  <c r="B48" i="53" s="1"/>
  <c r="B31" i="83"/>
  <c r="H11" i="80"/>
  <c r="D11" i="83"/>
  <c r="H16" i="83" s="1"/>
  <c r="D10" i="83"/>
  <c r="D9" i="83"/>
  <c r="C7" i="83"/>
  <c r="B7" i="83"/>
  <c r="B6" i="83"/>
  <c r="B4" i="83"/>
  <c r="F38" i="82"/>
  <c r="A15" i="82"/>
  <c r="A38" i="82"/>
  <c r="L37" i="82"/>
  <c r="J16" i="82"/>
  <c r="A86" i="82"/>
  <c r="J21" i="82"/>
  <c r="A10" i="82"/>
  <c r="J15" i="82"/>
  <c r="J17" i="82"/>
  <c r="J19" i="82"/>
  <c r="J14" i="82"/>
  <c r="J20" i="82"/>
  <c r="A11" i="82"/>
  <c r="K17" i="82"/>
  <c r="H16" i="80"/>
  <c r="A14" i="80"/>
  <c r="G195" i="80"/>
  <c r="A8" i="53"/>
  <c r="B57" i="76"/>
  <c r="D129" i="35"/>
  <c r="C8" i="2"/>
  <c r="C12" i="57"/>
  <c r="D5" i="59" s="1"/>
  <c r="H11" i="52"/>
  <c r="C5" i="53"/>
  <c r="H1" i="54"/>
  <c r="E3" i="43"/>
  <c r="I13" i="2"/>
  <c r="H14" i="2"/>
  <c r="G22" i="35"/>
  <c r="G10" i="83" s="1"/>
  <c r="D48" i="53" s="1"/>
  <c r="B2" i="76"/>
  <c r="G46" i="76"/>
  <c r="G42" i="76"/>
  <c r="G39" i="76"/>
  <c r="G27" i="76"/>
  <c r="G23" i="76"/>
  <c r="G20" i="76"/>
  <c r="K13" i="76"/>
  <c r="K12" i="76"/>
  <c r="I10" i="76"/>
  <c r="I9" i="76"/>
  <c r="K17" i="76" s="1"/>
  <c r="I12" i="43" s="1"/>
  <c r="D128" i="35"/>
  <c r="F236" i="43"/>
  <c r="Q51" i="43"/>
  <c r="B4" i="54"/>
  <c r="D4" i="43"/>
  <c r="B7" i="33" s="1"/>
  <c r="B103" i="52"/>
  <c r="B105" i="52"/>
  <c r="G27" i="5"/>
  <c r="G28" i="5" s="1"/>
  <c r="G23" i="5"/>
  <c r="G24" i="5" s="1"/>
  <c r="G6" i="5"/>
  <c r="G7" i="5" s="1"/>
  <c r="I7" i="5" s="1"/>
  <c r="G13" i="5"/>
  <c r="G12" i="5"/>
  <c r="D13" i="5"/>
  <c r="D12" i="5"/>
  <c r="H65" i="54"/>
  <c r="H68" i="54" s="1"/>
  <c r="H64" i="54"/>
  <c r="E19" i="35"/>
  <c r="D53" i="35" s="1"/>
  <c r="J19" i="35"/>
  <c r="K19" i="35"/>
  <c r="L19" i="35"/>
  <c r="M19" i="35"/>
  <c r="B23" i="35"/>
  <c r="C23" i="2" s="1"/>
  <c r="H23" i="35"/>
  <c r="B24" i="35"/>
  <c r="C24" i="2" s="1"/>
  <c r="H24" i="35"/>
  <c r="B25" i="35"/>
  <c r="H25" i="35"/>
  <c r="B26" i="35"/>
  <c r="C26" i="2" s="1"/>
  <c r="H26" i="35"/>
  <c r="B27" i="35"/>
  <c r="C27" i="2" s="1"/>
  <c r="H27" i="35"/>
  <c r="E32" i="35"/>
  <c r="F32" i="2" s="1"/>
  <c r="B34" i="35"/>
  <c r="C34" i="35"/>
  <c r="D43" i="35" s="1"/>
  <c r="E43" i="35"/>
  <c r="C44" i="35"/>
  <c r="C4" i="3" s="1"/>
  <c r="C53" i="35"/>
  <c r="C15" i="3" s="1"/>
  <c r="E53" i="35"/>
  <c r="E76" i="35" s="1"/>
  <c r="C65" i="35"/>
  <c r="C30" i="3" s="1"/>
  <c r="D75" i="35"/>
  <c r="D100" i="35"/>
  <c r="Q76" i="35"/>
  <c r="F19" i="35"/>
  <c r="C17" i="44"/>
  <c r="C18" i="44" s="1"/>
  <c r="C16" i="44"/>
  <c r="C15" i="44"/>
  <c r="A10" i="53"/>
  <c r="C7" i="53"/>
  <c r="K27" i="5"/>
  <c r="L47" i="43" s="1"/>
  <c r="K13" i="5"/>
  <c r="L41" i="43" s="1"/>
  <c r="K12" i="5"/>
  <c r="L40" i="43" s="1"/>
  <c r="K6" i="5"/>
  <c r="G36" i="43" s="1"/>
  <c r="A1" i="53"/>
  <c r="D12" i="57"/>
  <c r="R51" i="43"/>
  <c r="D5" i="5"/>
  <c r="D27" i="5"/>
  <c r="K23" i="5"/>
  <c r="G45" i="43" s="1"/>
  <c r="D23" i="5"/>
  <c r="E23" i="5" s="1"/>
  <c r="D6" i="5"/>
  <c r="A6" i="5"/>
  <c r="A7" i="5" s="1"/>
  <c r="A9" i="5" s="1"/>
  <c r="A11" i="5" s="1"/>
  <c r="A12" i="5" s="1"/>
  <c r="A13" i="5" s="1"/>
  <c r="A14" i="5" s="1"/>
  <c r="A16" i="5" s="1"/>
  <c r="A18" i="5" s="1"/>
  <c r="A20" i="5" s="1"/>
  <c r="A22" i="5" s="1"/>
  <c r="A23" i="5" s="1"/>
  <c r="A24" i="5" s="1"/>
  <c r="A26" i="5" s="1"/>
  <c r="A27" i="5" s="1"/>
  <c r="A28" i="5" s="1"/>
  <c r="A30" i="5" s="1"/>
  <c r="A32" i="5" s="1"/>
  <c r="A34" i="5" s="1"/>
  <c r="A36" i="5" s="1"/>
  <c r="A38" i="5" s="1"/>
  <c r="A40" i="5" s="1"/>
  <c r="A42" i="5" s="1"/>
  <c r="A44" i="5" s="1"/>
  <c r="A46" i="5" s="1"/>
  <c r="H15" i="52"/>
  <c r="A52" i="43"/>
  <c r="E34" i="53"/>
  <c r="D31" i="53"/>
  <c r="N52" i="43"/>
  <c r="K1" i="33"/>
  <c r="P46" i="58"/>
  <c r="B70" i="60"/>
  <c r="B69" i="60"/>
  <c r="C41" i="59" s="1"/>
  <c r="A69" i="60"/>
  <c r="B41" i="59" s="1"/>
  <c r="B68" i="60"/>
  <c r="A68" i="60"/>
  <c r="B40" i="59" s="1"/>
  <c r="B67" i="60"/>
  <c r="C39" i="59" s="1"/>
  <c r="A67" i="60"/>
  <c r="B66" i="60"/>
  <c r="C38" i="59" s="1"/>
  <c r="A66" i="60"/>
  <c r="B38" i="59" s="1"/>
  <c r="B65" i="60"/>
  <c r="C37" i="59" s="1"/>
  <c r="A65" i="60"/>
  <c r="B37" i="59" s="1"/>
  <c r="B64" i="60"/>
  <c r="A64" i="60"/>
  <c r="B36" i="59" s="1"/>
  <c r="B63" i="60"/>
  <c r="C35" i="59" s="1"/>
  <c r="A63" i="60"/>
  <c r="B35" i="59" s="1"/>
  <c r="F48" i="60"/>
  <c r="M50" i="59" s="1"/>
  <c r="F44" i="60"/>
  <c r="D42" i="57" s="1"/>
  <c r="H43" i="60"/>
  <c r="J42" i="60"/>
  <c r="D42" i="60"/>
  <c r="B36" i="60"/>
  <c r="F36" i="60" s="1"/>
  <c r="O38" i="59" s="1"/>
  <c r="B35" i="60"/>
  <c r="F35" i="60" s="1"/>
  <c r="O37" i="59" s="1"/>
  <c r="B34" i="60"/>
  <c r="F34" i="60" s="1"/>
  <c r="O36" i="59" s="1"/>
  <c r="B33" i="60"/>
  <c r="F33" i="60" s="1"/>
  <c r="K29" i="60"/>
  <c r="G29" i="60"/>
  <c r="P31" i="59" s="1"/>
  <c r="E29" i="60"/>
  <c r="B29" i="60"/>
  <c r="K31" i="59" s="1"/>
  <c r="K28" i="60"/>
  <c r="E30" i="59" s="1"/>
  <c r="G28" i="60"/>
  <c r="P30" i="59" s="1"/>
  <c r="E28" i="60"/>
  <c r="N30" i="59" s="1"/>
  <c r="B28" i="60"/>
  <c r="K27" i="60"/>
  <c r="G27" i="60"/>
  <c r="P29" i="59" s="1"/>
  <c r="E27" i="60"/>
  <c r="B27" i="60"/>
  <c r="F27" i="60" s="1"/>
  <c r="O29" i="59" s="1"/>
  <c r="K26" i="60"/>
  <c r="E28" i="59" s="1"/>
  <c r="G26" i="60"/>
  <c r="P28" i="59" s="1"/>
  <c r="E26" i="60"/>
  <c r="N28" i="59" s="1"/>
  <c r="B26" i="60"/>
  <c r="F26" i="60" s="1"/>
  <c r="O28" i="59" s="1"/>
  <c r="K25" i="60"/>
  <c r="G25" i="60"/>
  <c r="P27" i="59" s="1"/>
  <c r="E25" i="60"/>
  <c r="B25" i="60"/>
  <c r="K27" i="59" s="1"/>
  <c r="K24" i="60"/>
  <c r="E26" i="59" s="1"/>
  <c r="G24" i="60"/>
  <c r="P26" i="59" s="1"/>
  <c r="E24" i="60"/>
  <c r="N26" i="59" s="1"/>
  <c r="B24" i="60"/>
  <c r="K23" i="60"/>
  <c r="G23" i="60"/>
  <c r="P25" i="59" s="1"/>
  <c r="E23" i="60"/>
  <c r="B23" i="60"/>
  <c r="K25" i="59" s="1"/>
  <c r="K22" i="60"/>
  <c r="E24" i="59" s="1"/>
  <c r="G22" i="60"/>
  <c r="P24" i="59" s="1"/>
  <c r="E22" i="60"/>
  <c r="N24" i="59" s="1"/>
  <c r="B22" i="60"/>
  <c r="F22" i="60" s="1"/>
  <c r="O24" i="59" s="1"/>
  <c r="K21" i="60"/>
  <c r="G21" i="60"/>
  <c r="P23" i="59" s="1"/>
  <c r="E21" i="60"/>
  <c r="B21" i="60"/>
  <c r="K23" i="59" s="1"/>
  <c r="K20" i="60"/>
  <c r="E22" i="59" s="1"/>
  <c r="G20" i="60"/>
  <c r="E20" i="60"/>
  <c r="N22" i="59" s="1"/>
  <c r="B20" i="60"/>
  <c r="K19" i="60"/>
  <c r="G19" i="60"/>
  <c r="P21" i="59" s="1"/>
  <c r="E19" i="60"/>
  <c r="N21" i="59" s="1"/>
  <c r="B19" i="60"/>
  <c r="F19" i="60" s="1"/>
  <c r="O21" i="59" s="1"/>
  <c r="K18" i="60"/>
  <c r="E20" i="59" s="1"/>
  <c r="G18" i="60"/>
  <c r="P20" i="59" s="1"/>
  <c r="E18" i="60"/>
  <c r="B18" i="60"/>
  <c r="K17" i="60"/>
  <c r="G17" i="60"/>
  <c r="P19" i="59" s="1"/>
  <c r="E17" i="60"/>
  <c r="B17" i="60"/>
  <c r="K19" i="59" s="1"/>
  <c r="K16" i="60"/>
  <c r="E18" i="59" s="1"/>
  <c r="G16" i="60"/>
  <c r="P18" i="59" s="1"/>
  <c r="E16" i="60"/>
  <c r="N18" i="59" s="1"/>
  <c r="B16" i="60"/>
  <c r="K15" i="60"/>
  <c r="E17" i="59" s="1"/>
  <c r="E15" i="60"/>
  <c r="N17" i="59" s="1"/>
  <c r="B15" i="60"/>
  <c r="K14" i="60"/>
  <c r="E16" i="59" s="1"/>
  <c r="E14" i="60"/>
  <c r="N16" i="59" s="1"/>
  <c r="B14" i="60"/>
  <c r="K13" i="60"/>
  <c r="E15" i="59" s="1"/>
  <c r="E13" i="60"/>
  <c r="N15" i="59" s="1"/>
  <c r="B13" i="60"/>
  <c r="K12" i="60"/>
  <c r="E14" i="59" s="1"/>
  <c r="E12" i="60"/>
  <c r="N14" i="59" s="1"/>
  <c r="B12" i="60"/>
  <c r="K14" i="59" s="1"/>
  <c r="K11" i="60"/>
  <c r="E13" i="59" s="1"/>
  <c r="G11" i="60"/>
  <c r="P13" i="59" s="1"/>
  <c r="E11" i="60"/>
  <c r="N13" i="59" s="1"/>
  <c r="B11" i="60"/>
  <c r="K10" i="60"/>
  <c r="E10" i="60"/>
  <c r="B10" i="60"/>
  <c r="L7" i="60"/>
  <c r="C5" i="59" s="1"/>
  <c r="F5" i="60"/>
  <c r="O7" i="59" s="1"/>
  <c r="B48" i="57"/>
  <c r="B47" i="57"/>
  <c r="B43" i="57"/>
  <c r="B42" i="57"/>
  <c r="G26" i="57"/>
  <c r="R2" i="57"/>
  <c r="D16" i="57"/>
  <c r="C45" i="57" s="1"/>
  <c r="J48" i="59" s="1"/>
  <c r="D14" i="57"/>
  <c r="G15" i="57" s="1"/>
  <c r="D10" i="57"/>
  <c r="I50" i="58" s="1"/>
  <c r="C10" i="57"/>
  <c r="C9" i="57"/>
  <c r="C8" i="57"/>
  <c r="D6" i="57"/>
  <c r="M3" i="59" s="1"/>
  <c r="C6" i="57"/>
  <c r="N3" i="58" s="1"/>
  <c r="C5" i="57"/>
  <c r="B2" i="60" s="1"/>
  <c r="C4" i="57"/>
  <c r="B1" i="60" s="1"/>
  <c r="P5" i="58"/>
  <c r="Q5" i="58" s="1"/>
  <c r="I5" i="59" s="1"/>
  <c r="D5" i="58"/>
  <c r="S44" i="58"/>
  <c r="N44" i="58"/>
  <c r="Q7" i="58"/>
  <c r="J7" i="59" s="1"/>
  <c r="H51" i="59"/>
  <c r="H50" i="59"/>
  <c r="H47" i="59"/>
  <c r="H46" i="59"/>
  <c r="C36" i="59"/>
  <c r="E29" i="59"/>
  <c r="Q45" i="59"/>
  <c r="J44" i="59"/>
  <c r="I31" i="59"/>
  <c r="F31" i="59"/>
  <c r="C31" i="59"/>
  <c r="B31" i="59"/>
  <c r="I30" i="59"/>
  <c r="F30" i="59"/>
  <c r="C30" i="59"/>
  <c r="B30" i="59"/>
  <c r="I29" i="59"/>
  <c r="F29" i="59"/>
  <c r="C29" i="59"/>
  <c r="B29" i="59"/>
  <c r="I28" i="59"/>
  <c r="F28" i="59"/>
  <c r="C28" i="59"/>
  <c r="B28" i="59"/>
  <c r="I27" i="59"/>
  <c r="F27" i="59"/>
  <c r="C27" i="59"/>
  <c r="B27" i="59"/>
  <c r="I26" i="59"/>
  <c r="F26" i="59"/>
  <c r="C26" i="59"/>
  <c r="B26" i="59"/>
  <c r="I25" i="59"/>
  <c r="F25" i="59"/>
  <c r="C25" i="59"/>
  <c r="B25" i="59"/>
  <c r="I24" i="59"/>
  <c r="F24" i="59"/>
  <c r="C24" i="59"/>
  <c r="B24" i="59"/>
  <c r="I23" i="59"/>
  <c r="F23" i="59"/>
  <c r="C23" i="59"/>
  <c r="B23" i="59"/>
  <c r="I22" i="59"/>
  <c r="F22" i="59"/>
  <c r="C22" i="59"/>
  <c r="B22" i="59"/>
  <c r="I21" i="59"/>
  <c r="F21" i="59"/>
  <c r="C21" i="59"/>
  <c r="B21" i="59"/>
  <c r="I20" i="59"/>
  <c r="F20" i="59"/>
  <c r="C20" i="59"/>
  <c r="B20" i="59"/>
  <c r="I19" i="59"/>
  <c r="F19" i="59"/>
  <c r="C19" i="59"/>
  <c r="B19" i="59"/>
  <c r="I18" i="59"/>
  <c r="F18" i="59"/>
  <c r="C18" i="59"/>
  <c r="B18" i="59"/>
  <c r="I17" i="59"/>
  <c r="F17" i="59"/>
  <c r="C17" i="59"/>
  <c r="B17" i="59"/>
  <c r="I16" i="59"/>
  <c r="F16" i="59"/>
  <c r="C16" i="59"/>
  <c r="B16" i="59"/>
  <c r="I15" i="59"/>
  <c r="F15" i="59"/>
  <c r="C15" i="59"/>
  <c r="B15" i="59"/>
  <c r="I14" i="59"/>
  <c r="F14" i="59"/>
  <c r="C14" i="59"/>
  <c r="B14" i="59"/>
  <c r="I13" i="59"/>
  <c r="F13" i="59"/>
  <c r="C13" i="59"/>
  <c r="B13" i="59"/>
  <c r="I12" i="59"/>
  <c r="F12" i="59"/>
  <c r="F32" i="59" s="1"/>
  <c r="C12" i="59"/>
  <c r="B12" i="59"/>
  <c r="C40" i="59"/>
  <c r="B39" i="59"/>
  <c r="F45" i="60"/>
  <c r="M47" i="59" s="1"/>
  <c r="E31" i="59"/>
  <c r="I29" i="60"/>
  <c r="N31" i="59"/>
  <c r="I28" i="60"/>
  <c r="F28" i="60"/>
  <c r="O30" i="59" s="1"/>
  <c r="I27" i="60"/>
  <c r="N29" i="59"/>
  <c r="I26" i="60"/>
  <c r="T25" i="60"/>
  <c r="E27" i="59"/>
  <c r="I25" i="60"/>
  <c r="N27" i="59"/>
  <c r="R24" i="60"/>
  <c r="T24" i="60" s="1"/>
  <c r="I24" i="60"/>
  <c r="F24" i="60"/>
  <c r="O26" i="59" s="1"/>
  <c r="R23" i="60"/>
  <c r="T23" i="60" s="1"/>
  <c r="E25" i="59"/>
  <c r="I23" i="60"/>
  <c r="N25" i="59"/>
  <c r="R22" i="60"/>
  <c r="T22" i="60"/>
  <c r="I22" i="60"/>
  <c r="R21" i="60"/>
  <c r="T21" i="60" s="1"/>
  <c r="E23" i="59"/>
  <c r="I21" i="60"/>
  <c r="N23" i="59"/>
  <c r="R20" i="60"/>
  <c r="T20" i="60" s="1"/>
  <c r="I20" i="60"/>
  <c r="P22" i="59"/>
  <c r="F20" i="60"/>
  <c r="O22" i="59" s="1"/>
  <c r="K22" i="59"/>
  <c r="R19" i="60"/>
  <c r="T19" i="60" s="1"/>
  <c r="E21" i="59"/>
  <c r="I19" i="60"/>
  <c r="I18" i="60"/>
  <c r="N20" i="59"/>
  <c r="F18" i="60"/>
  <c r="O20" i="59" s="1"/>
  <c r="E19" i="59"/>
  <c r="I17" i="60"/>
  <c r="N19" i="59"/>
  <c r="I16" i="60"/>
  <c r="K18" i="59"/>
  <c r="I15" i="60"/>
  <c r="K17" i="59"/>
  <c r="I14" i="60"/>
  <c r="I13" i="60"/>
  <c r="I12" i="60"/>
  <c r="I11" i="60"/>
  <c r="F11" i="60"/>
  <c r="O13" i="59" s="1"/>
  <c r="E12" i="59"/>
  <c r="I10" i="60"/>
  <c r="N12" i="59"/>
  <c r="P41" i="59"/>
  <c r="P40" i="59"/>
  <c r="O40" i="59"/>
  <c r="M40" i="59"/>
  <c r="P39" i="59"/>
  <c r="K8" i="59"/>
  <c r="R41" i="58"/>
  <c r="G39" i="60" s="1"/>
  <c r="R40" i="58"/>
  <c r="G38" i="60" s="1"/>
  <c r="R39" i="58"/>
  <c r="G37" i="60" s="1"/>
  <c r="Q39" i="58"/>
  <c r="D29" i="57" s="1"/>
  <c r="M32" i="58"/>
  <c r="G32" i="58"/>
  <c r="N32" i="58" s="1"/>
  <c r="D27" i="57" s="1"/>
  <c r="R31" i="58"/>
  <c r="Q31" i="58"/>
  <c r="J31" i="59" s="1"/>
  <c r="O31" i="58"/>
  <c r="D29" i="60" s="1"/>
  <c r="K31" i="58"/>
  <c r="I31" i="58"/>
  <c r="R30" i="58"/>
  <c r="Q30" i="58"/>
  <c r="J30" i="59" s="1"/>
  <c r="O30" i="58"/>
  <c r="D28" i="60" s="1"/>
  <c r="I30" i="58"/>
  <c r="R29" i="58"/>
  <c r="Q29" i="58"/>
  <c r="J29" i="59" s="1"/>
  <c r="O29" i="58"/>
  <c r="D27" i="60" s="1"/>
  <c r="K29" i="58"/>
  <c r="I29" i="58"/>
  <c r="R28" i="58"/>
  <c r="Q28" i="58"/>
  <c r="J28" i="59" s="1"/>
  <c r="O28" i="58"/>
  <c r="D26" i="60" s="1"/>
  <c r="K28" i="58"/>
  <c r="I28" i="58"/>
  <c r="R27" i="58"/>
  <c r="Q27" i="58"/>
  <c r="J27" i="59" s="1"/>
  <c r="O27" i="58"/>
  <c r="D25" i="60" s="1"/>
  <c r="K27" i="58"/>
  <c r="I27" i="58"/>
  <c r="R26" i="58"/>
  <c r="Q26" i="58"/>
  <c r="J26" i="59" s="1"/>
  <c r="O26" i="58"/>
  <c r="D24" i="60" s="1"/>
  <c r="K26" i="58"/>
  <c r="I26" i="58"/>
  <c r="R25" i="58"/>
  <c r="Q25" i="58"/>
  <c r="J25" i="59" s="1"/>
  <c r="O25" i="58"/>
  <c r="D23" i="60" s="1"/>
  <c r="K25" i="58"/>
  <c r="I25" i="58"/>
  <c r="R24" i="58"/>
  <c r="Q24" i="58"/>
  <c r="J24" i="59" s="1"/>
  <c r="O24" i="58"/>
  <c r="D22" i="60" s="1"/>
  <c r="K24" i="58"/>
  <c r="I24" i="58"/>
  <c r="R23" i="58"/>
  <c r="Q23" i="58"/>
  <c r="J23" i="59" s="1"/>
  <c r="O23" i="58"/>
  <c r="H23" i="59" s="1"/>
  <c r="G23" i="59" s="1"/>
  <c r="K23" i="58"/>
  <c r="I23" i="58"/>
  <c r="R22" i="58"/>
  <c r="Q22" i="58"/>
  <c r="J22" i="59" s="1"/>
  <c r="O22" i="58"/>
  <c r="H22" i="59" s="1"/>
  <c r="G22" i="59" s="1"/>
  <c r="K22" i="58"/>
  <c r="I22" i="58"/>
  <c r="R21" i="58"/>
  <c r="Q21" i="58"/>
  <c r="J21" i="59"/>
  <c r="O21" i="58"/>
  <c r="D19" i="60" s="1"/>
  <c r="K21" i="58"/>
  <c r="I21" i="58"/>
  <c r="R20" i="58"/>
  <c r="Q20" i="58"/>
  <c r="J20" i="59" s="1"/>
  <c r="O20" i="58"/>
  <c r="D18" i="60" s="1"/>
  <c r="K20" i="58"/>
  <c r="I20" i="58"/>
  <c r="R19" i="58"/>
  <c r="Q19" i="58"/>
  <c r="J19" i="59" s="1"/>
  <c r="O19" i="58"/>
  <c r="D17" i="60" s="1"/>
  <c r="K19" i="58"/>
  <c r="I19" i="58"/>
  <c r="R18" i="58"/>
  <c r="Q18" i="58"/>
  <c r="J18" i="59" s="1"/>
  <c r="O18" i="58"/>
  <c r="D16" i="60" s="1"/>
  <c r="K18" i="58"/>
  <c r="I18" i="58"/>
  <c r="R17" i="58"/>
  <c r="Q17" i="58"/>
  <c r="J17" i="59" s="1"/>
  <c r="O17" i="58"/>
  <c r="H17" i="59" s="1"/>
  <c r="G17" i="59" s="1"/>
  <c r="K17" i="58"/>
  <c r="I17" i="58"/>
  <c r="R16" i="58"/>
  <c r="Q16" i="58"/>
  <c r="J16" i="59" s="1"/>
  <c r="O16" i="58"/>
  <c r="H16" i="59" s="1"/>
  <c r="G16" i="59" s="1"/>
  <c r="K16" i="58"/>
  <c r="I16" i="58"/>
  <c r="R15" i="58"/>
  <c r="Q15" i="58"/>
  <c r="J15" i="59" s="1"/>
  <c r="O15" i="58"/>
  <c r="H15" i="59" s="1"/>
  <c r="G15" i="59" s="1"/>
  <c r="K15" i="58"/>
  <c r="I15" i="58"/>
  <c r="R14" i="58"/>
  <c r="Q14" i="58"/>
  <c r="J14" i="59" s="1"/>
  <c r="O14" i="58"/>
  <c r="H14" i="59" s="1"/>
  <c r="G14" i="59" s="1"/>
  <c r="K14" i="58"/>
  <c r="I14" i="58"/>
  <c r="R13" i="58"/>
  <c r="Q13" i="58"/>
  <c r="J13" i="59" s="1"/>
  <c r="O13" i="58"/>
  <c r="D11" i="60" s="1"/>
  <c r="K13" i="58"/>
  <c r="I13" i="58"/>
  <c r="R12" i="58"/>
  <c r="Q12" i="58"/>
  <c r="J12" i="59" s="1"/>
  <c r="O12" i="58"/>
  <c r="D10" i="60" s="1"/>
  <c r="K12" i="58"/>
  <c r="I12" i="58"/>
  <c r="G7" i="58"/>
  <c r="J5" i="58"/>
  <c r="H27" i="57"/>
  <c r="D22" i="57"/>
  <c r="D20" i="57"/>
  <c r="D4" i="60" s="1"/>
  <c r="D19" i="57"/>
  <c r="G14" i="57"/>
  <c r="R3" i="57"/>
  <c r="J32" i="58"/>
  <c r="H24" i="59"/>
  <c r="G24" i="59" s="1"/>
  <c r="H25" i="59"/>
  <c r="G25" i="59" s="1"/>
  <c r="K13" i="59"/>
  <c r="K26" i="59"/>
  <c r="K20" i="59"/>
  <c r="K30" i="59"/>
  <c r="K24" i="59"/>
  <c r="K29" i="59"/>
  <c r="K28" i="59"/>
  <c r="K12" i="59"/>
  <c r="Q46" i="58"/>
  <c r="I84" i="43"/>
  <c r="H39" i="54"/>
  <c r="A1" i="54"/>
  <c r="D3" i="54"/>
  <c r="I1" i="54"/>
  <c r="C41" i="54"/>
  <c r="D13" i="54"/>
  <c r="C21" i="54" s="1"/>
  <c r="I12" i="54"/>
  <c r="I10" i="54"/>
  <c r="G5" i="54"/>
  <c r="D10" i="3"/>
  <c r="D9" i="3"/>
  <c r="D8" i="3"/>
  <c r="A13" i="52"/>
  <c r="A5" i="53"/>
  <c r="A1" i="43"/>
  <c r="F6" i="2"/>
  <c r="C6" i="2"/>
  <c r="B176" i="52"/>
  <c r="A4" i="52"/>
  <c r="H2" i="43"/>
  <c r="E26" i="3"/>
  <c r="E13" i="3"/>
  <c r="E88" i="53"/>
  <c r="A99" i="53"/>
  <c r="F74" i="43"/>
  <c r="E74" i="43"/>
  <c r="D74" i="43"/>
  <c r="C74" i="43"/>
  <c r="B74" i="43"/>
  <c r="G9" i="43"/>
  <c r="G7" i="43"/>
  <c r="R50" i="43"/>
  <c r="Q50" i="43"/>
  <c r="M50" i="43"/>
  <c r="R48" i="43"/>
  <c r="Q48" i="43"/>
  <c r="M48" i="43"/>
  <c r="R47" i="43"/>
  <c r="Q47" i="43"/>
  <c r="R46" i="43"/>
  <c r="Q46" i="43"/>
  <c r="M46" i="43"/>
  <c r="R45" i="43"/>
  <c r="Q45" i="43"/>
  <c r="R44" i="43"/>
  <c r="Q44" i="43"/>
  <c r="M44" i="43"/>
  <c r="R43" i="43"/>
  <c r="Q43" i="43"/>
  <c r="M43" i="43"/>
  <c r="R42" i="43"/>
  <c r="Q42" i="43"/>
  <c r="R41" i="43"/>
  <c r="Q41" i="43"/>
  <c r="R40" i="43"/>
  <c r="Q40" i="43"/>
  <c r="R39" i="43"/>
  <c r="Q39" i="43"/>
  <c r="M39" i="43"/>
  <c r="R38" i="43"/>
  <c r="Q38" i="43"/>
  <c r="M38" i="43"/>
  <c r="R37" i="43"/>
  <c r="Q37" i="43"/>
  <c r="M37" i="43"/>
  <c r="R36" i="43"/>
  <c r="Q36" i="43"/>
  <c r="R35" i="43"/>
  <c r="Q35" i="43"/>
  <c r="M35" i="43"/>
  <c r="R30" i="43"/>
  <c r="Q30" i="43"/>
  <c r="M30" i="43"/>
  <c r="R29" i="43"/>
  <c r="Q29" i="43"/>
  <c r="M29" i="43"/>
  <c r="R27" i="43"/>
  <c r="Q27" i="43"/>
  <c r="M27" i="43"/>
  <c r="R26" i="43"/>
  <c r="Q26" i="43"/>
  <c r="M26" i="43"/>
  <c r="R25" i="43"/>
  <c r="Q25" i="43"/>
  <c r="M25" i="43"/>
  <c r="R22" i="43"/>
  <c r="Q22" i="43"/>
  <c r="M22" i="43"/>
  <c r="R21" i="43"/>
  <c r="Q21" i="43"/>
  <c r="M21" i="43"/>
  <c r="R20" i="43"/>
  <c r="Q20" i="43"/>
  <c r="M20" i="43"/>
  <c r="R19" i="43"/>
  <c r="Q19" i="43"/>
  <c r="M19" i="43"/>
  <c r="E37" i="4"/>
  <c r="D37" i="4"/>
  <c r="B313" i="52"/>
  <c r="B304" i="52"/>
  <c r="B299" i="52"/>
  <c r="B298" i="52"/>
  <c r="B80" i="52"/>
  <c r="E14" i="43"/>
  <c r="F35" i="47" s="1"/>
  <c r="B138" i="52"/>
  <c r="A58" i="52"/>
  <c r="G484" i="52"/>
  <c r="B14" i="2"/>
  <c r="F57" i="43"/>
  <c r="D58" i="83" s="1"/>
  <c r="D5" i="3"/>
  <c r="E23" i="3"/>
  <c r="E22" i="3"/>
  <c r="E21" i="3"/>
  <c r="E20" i="3"/>
  <c r="E19" i="3"/>
  <c r="E18" i="3"/>
  <c r="D23" i="3"/>
  <c r="D22" i="3"/>
  <c r="D21" i="3"/>
  <c r="D20" i="3"/>
  <c r="D19" i="3"/>
  <c r="D18" i="3"/>
  <c r="E10" i="3"/>
  <c r="E9" i="3"/>
  <c r="E8" i="3"/>
  <c r="E7" i="3"/>
  <c r="E6" i="3"/>
  <c r="E5" i="3"/>
  <c r="D7" i="3"/>
  <c r="D6" i="3"/>
  <c r="H50" i="5"/>
  <c r="E53" i="5"/>
  <c r="B53" i="5"/>
  <c r="G53" i="5"/>
  <c r="G40" i="3"/>
  <c r="D26" i="3"/>
  <c r="F26" i="3" s="1"/>
  <c r="D13" i="3"/>
  <c r="F13" i="3" s="1"/>
  <c r="F34" i="47"/>
  <c r="I32" i="3"/>
  <c r="I33" i="3"/>
  <c r="I34" i="3"/>
  <c r="I35" i="3"/>
  <c r="I31" i="3"/>
  <c r="I19" i="3"/>
  <c r="I20" i="3"/>
  <c r="I21" i="3"/>
  <c r="I22" i="3"/>
  <c r="I23" i="3"/>
  <c r="I18" i="3"/>
  <c r="I5" i="3"/>
  <c r="I7" i="3"/>
  <c r="I8" i="3"/>
  <c r="I9" i="3"/>
  <c r="I10" i="3"/>
  <c r="I6" i="3"/>
  <c r="F38" i="2"/>
  <c r="F39" i="2"/>
  <c r="F37" i="2"/>
  <c r="B15" i="2"/>
  <c r="D37" i="2"/>
  <c r="D38" i="2"/>
  <c r="D39" i="2"/>
  <c r="H39" i="2"/>
  <c r="G8" i="2"/>
  <c r="F8" i="2"/>
  <c r="F7" i="2"/>
  <c r="F5" i="2"/>
  <c r="D8" i="2"/>
  <c r="A15" i="89" s="1"/>
  <c r="C7" i="2"/>
  <c r="C5" i="2"/>
  <c r="E32" i="4"/>
  <c r="D32" i="4"/>
  <c r="E30" i="4"/>
  <c r="D30" i="4"/>
  <c r="F30" i="4" s="1"/>
  <c r="E29" i="4"/>
  <c r="D29" i="4"/>
  <c r="E28" i="4"/>
  <c r="D28" i="4"/>
  <c r="E16" i="4"/>
  <c r="E24" i="4" s="1"/>
  <c r="D16" i="4"/>
  <c r="D24" i="4" s="1"/>
  <c r="A2" i="44"/>
  <c r="A6" i="44"/>
  <c r="A14" i="44" s="1"/>
  <c r="L14" i="44" s="1"/>
  <c r="C10" i="44"/>
  <c r="B6" i="44"/>
  <c r="K98" i="43"/>
  <c r="D55" i="43"/>
  <c r="G15" i="2"/>
  <c r="D28" i="3"/>
  <c r="B31" i="3"/>
  <c r="B35" i="3"/>
  <c r="B34" i="3"/>
  <c r="B33" i="3"/>
  <c r="B32" i="3"/>
  <c r="C25" i="2"/>
  <c r="G9" i="5"/>
  <c r="G11" i="5"/>
  <c r="G16" i="5"/>
  <c r="G18" i="5"/>
  <c r="G20" i="5"/>
  <c r="G22" i="5"/>
  <c r="G26" i="5"/>
  <c r="G30" i="5"/>
  <c r="H30" i="5" s="1"/>
  <c r="M30" i="5" s="1"/>
  <c r="G32" i="5"/>
  <c r="G36" i="5"/>
  <c r="H36" i="5" s="1"/>
  <c r="M36" i="5" s="1"/>
  <c r="G38" i="5"/>
  <c r="G40" i="5"/>
  <c r="H40" i="5" s="1"/>
  <c r="M40" i="5" s="1"/>
  <c r="G5" i="5"/>
  <c r="D9" i="5"/>
  <c r="D11" i="5"/>
  <c r="D16" i="5"/>
  <c r="D18" i="5"/>
  <c r="D20" i="5"/>
  <c r="D22" i="5"/>
  <c r="D26" i="5"/>
  <c r="D30" i="5"/>
  <c r="E30" i="5" s="1"/>
  <c r="I30" i="5" s="1"/>
  <c r="D32" i="5"/>
  <c r="D36" i="5"/>
  <c r="E36" i="5" s="1"/>
  <c r="I36" i="5" s="1"/>
  <c r="D38" i="5"/>
  <c r="D40" i="5"/>
  <c r="E40" i="5" s="1"/>
  <c r="I40" i="5" s="1"/>
  <c r="E13" i="4"/>
  <c r="D13" i="4"/>
  <c r="E11" i="4"/>
  <c r="E10" i="4"/>
  <c r="D11" i="4"/>
  <c r="D10" i="4"/>
  <c r="E40" i="4"/>
  <c r="D40" i="4"/>
  <c r="D41" i="4" s="1"/>
  <c r="E39" i="4"/>
  <c r="D39" i="4"/>
  <c r="E7" i="4"/>
  <c r="E5" i="4"/>
  <c r="E4" i="4"/>
  <c r="D7" i="4"/>
  <c r="D5" i="4"/>
  <c r="J20" i="3"/>
  <c r="J21" i="3"/>
  <c r="J22" i="3"/>
  <c r="J19" i="3"/>
  <c r="H10" i="2"/>
  <c r="K30" i="5"/>
  <c r="L30" i="5" s="1"/>
  <c r="K18" i="5"/>
  <c r="L39" i="43" s="1"/>
  <c r="G39" i="4"/>
  <c r="D30" i="43" s="1"/>
  <c r="G30" i="4"/>
  <c r="G29" i="4"/>
  <c r="G28" i="4"/>
  <c r="C165" i="94"/>
  <c r="G16" i="4"/>
  <c r="G24" i="4" s="1"/>
  <c r="G11" i="4"/>
  <c r="E22" i="43" s="1"/>
  <c r="G5" i="4"/>
  <c r="D20" i="43" s="1"/>
  <c r="G10" i="4"/>
  <c r="E21" i="43" s="1"/>
  <c r="G4" i="4"/>
  <c r="K40" i="5"/>
  <c r="L52" i="43" s="1"/>
  <c r="K32" i="5"/>
  <c r="L48" i="43" s="1"/>
  <c r="K16" i="5"/>
  <c r="L42" i="43" s="1"/>
  <c r="K5" i="5"/>
  <c r="L36" i="43" s="1"/>
  <c r="G13" i="4"/>
  <c r="L22" i="43" s="1"/>
  <c r="K38" i="5"/>
  <c r="K22" i="5"/>
  <c r="K11" i="5"/>
  <c r="G7" i="4"/>
  <c r="K36" i="5"/>
  <c r="H50" i="43" s="1"/>
  <c r="K20" i="5"/>
  <c r="L43" i="43" s="1"/>
  <c r="K9" i="5"/>
  <c r="G32" i="4"/>
  <c r="K26" i="5"/>
  <c r="L46" i="43" s="1"/>
  <c r="G40" i="4"/>
  <c r="G41" i="4" s="1"/>
  <c r="F30" i="43" s="1"/>
  <c r="K1" i="5"/>
  <c r="B11" i="2"/>
  <c r="B12" i="2"/>
  <c r="G2" i="4"/>
  <c r="K3" i="5" s="1"/>
  <c r="H22" i="2"/>
  <c r="I12" i="2"/>
  <c r="B39" i="4"/>
  <c r="F36" i="4"/>
  <c r="F35" i="4"/>
  <c r="A4" i="4"/>
  <c r="A5" i="4" s="1"/>
  <c r="A6" i="4" s="1"/>
  <c r="A7" i="4" s="1"/>
  <c r="A8" i="4" s="1"/>
  <c r="A10" i="4" s="1"/>
  <c r="A11" i="4" s="1"/>
  <c r="A12" i="4" s="1"/>
  <c r="A13" i="4" s="1"/>
  <c r="A14" i="4" s="1"/>
  <c r="A16" i="4" s="1"/>
  <c r="A28" i="4" s="1"/>
  <c r="A29" i="4" s="1"/>
  <c r="A30" i="4" s="1"/>
  <c r="A31" i="4" s="1"/>
  <c r="A32" i="4" s="1"/>
  <c r="A33" i="4" s="1"/>
  <c r="A39" i="4" s="1"/>
  <c r="A40" i="4" s="1"/>
  <c r="A41" i="4" s="1"/>
  <c r="A43" i="4" s="1"/>
  <c r="A44" i="4" s="1"/>
  <c r="A45" i="4" s="1"/>
  <c r="A40" i="2"/>
  <c r="F39" i="47"/>
  <c r="D43" i="4" l="1"/>
  <c r="D28" i="5"/>
  <c r="E43" i="4"/>
  <c r="K28" i="5"/>
  <c r="H35" i="4"/>
  <c r="E19" i="43"/>
  <c r="B73" i="53" s="1"/>
  <c r="G43" i="4"/>
  <c r="E23" i="43"/>
  <c r="G23" i="43" s="1"/>
  <c r="I23" i="43" s="1"/>
  <c r="D23" i="43"/>
  <c r="D26" i="4"/>
  <c r="L8" i="44" s="1"/>
  <c r="K8" i="44" s="1"/>
  <c r="D7" i="44" s="1"/>
  <c r="F7" i="44" s="1"/>
  <c r="H28" i="4"/>
  <c r="L40" i="5"/>
  <c r="D52" i="43" s="1"/>
  <c r="F28" i="4"/>
  <c r="C141" i="52"/>
  <c r="C141" i="94"/>
  <c r="C140" i="52"/>
  <c r="C140" i="94"/>
  <c r="A15" i="84"/>
  <c r="A36" i="95"/>
  <c r="A14" i="94"/>
  <c r="A37" i="95"/>
  <c r="A15" i="94"/>
  <c r="A30" i="95"/>
  <c r="A133" i="95"/>
  <c r="A464" i="94"/>
  <c r="A8" i="94"/>
  <c r="A9" i="89"/>
  <c r="A31" i="95"/>
  <c r="A9" i="94"/>
  <c r="A16" i="82"/>
  <c r="A32" i="95"/>
  <c r="A10" i="94"/>
  <c r="A124" i="95"/>
  <c r="A453" i="94"/>
  <c r="F37" i="4"/>
  <c r="F29" i="83"/>
  <c r="I9" i="54"/>
  <c r="J9" i="54" s="1"/>
  <c r="I18" i="54"/>
  <c r="B241" i="94"/>
  <c r="B277" i="94"/>
  <c r="D36" i="2"/>
  <c r="D1" i="4" s="1"/>
  <c r="H142" i="84"/>
  <c r="H291" i="94"/>
  <c r="C161" i="89"/>
  <c r="C161" i="94"/>
  <c r="F39" i="4"/>
  <c r="F29" i="4"/>
  <c r="B7" i="44"/>
  <c r="H11" i="4"/>
  <c r="D19" i="43"/>
  <c r="D40" i="2"/>
  <c r="E29" i="43"/>
  <c r="H3" i="43"/>
  <c r="A78" i="99" s="1"/>
  <c r="K14" i="5"/>
  <c r="L38" i="43" s="1"/>
  <c r="C20" i="54"/>
  <c r="C19" i="54" s="1"/>
  <c r="A17" i="54" s="1"/>
  <c r="H30" i="59"/>
  <c r="G30" i="59" s="1"/>
  <c r="F10" i="4"/>
  <c r="D21" i="60"/>
  <c r="G29" i="76"/>
  <c r="F110" i="43"/>
  <c r="AK5" i="43"/>
  <c r="K36" i="59"/>
  <c r="H21" i="59"/>
  <c r="G21" i="59" s="1"/>
  <c r="H32" i="4"/>
  <c r="F37" i="47"/>
  <c r="J46" i="57"/>
  <c r="H25" i="4"/>
  <c r="F23" i="3"/>
  <c r="G23" i="3" s="1"/>
  <c r="L36" i="5"/>
  <c r="D50" i="43" s="1"/>
  <c r="D22" i="43"/>
  <c r="D31" i="4"/>
  <c r="G41" i="43"/>
  <c r="F13" i="4"/>
  <c r="F11" i="4"/>
  <c r="D24" i="5"/>
  <c r="B3" i="60"/>
  <c r="G1" i="60"/>
  <c r="G3" i="54"/>
  <c r="J7" i="54" s="1"/>
  <c r="H264" i="89"/>
  <c r="H136" i="80"/>
  <c r="B28" i="43"/>
  <c r="B96" i="53"/>
  <c r="B79" i="53"/>
  <c r="B50" i="35"/>
  <c r="B10" i="3"/>
  <c r="H29" i="4"/>
  <c r="K7" i="5"/>
  <c r="M7" i="5" s="1"/>
  <c r="E12" i="4"/>
  <c r="E14" i="4" s="1"/>
  <c r="E31" i="4"/>
  <c r="K37" i="59"/>
  <c r="D20" i="60"/>
  <c r="C20" i="60" s="1"/>
  <c r="L22" i="59" s="1"/>
  <c r="AK4" i="43"/>
  <c r="G37" i="4"/>
  <c r="G31" i="4"/>
  <c r="H7" i="4"/>
  <c r="I3" i="58"/>
  <c r="K38" i="59"/>
  <c r="G32" i="35"/>
  <c r="AE6" i="43"/>
  <c r="A9" i="80"/>
  <c r="G14" i="4"/>
  <c r="F22" i="43" s="1"/>
  <c r="A79" i="53" s="1"/>
  <c r="A10" i="52"/>
  <c r="Y3" i="43"/>
  <c r="AA3" i="43" s="1"/>
  <c r="AE10" i="43" s="1"/>
  <c r="H13" i="4"/>
  <c r="A9" i="52"/>
  <c r="H29" i="59"/>
  <c r="G29" i="59" s="1"/>
  <c r="T26" i="60"/>
  <c r="B27" i="33"/>
  <c r="L3" i="59"/>
  <c r="A434" i="89"/>
  <c r="F10" i="3"/>
  <c r="G10" i="3" s="1"/>
  <c r="H26" i="59"/>
  <c r="G26" i="59" s="1"/>
  <c r="H13" i="59"/>
  <c r="G13" i="59" s="1"/>
  <c r="H15" i="57"/>
  <c r="D14" i="5"/>
  <c r="G10" i="76"/>
  <c r="C141" i="89"/>
  <c r="C2" i="43"/>
  <c r="C1" i="43"/>
  <c r="E2" i="87" s="1"/>
  <c r="A7" i="53"/>
  <c r="A16" i="80"/>
  <c r="C29" i="43"/>
  <c r="F32" i="3"/>
  <c r="G32" i="3" s="1"/>
  <c r="F7" i="86" s="1"/>
  <c r="F33" i="47"/>
  <c r="H33" i="47" s="1"/>
  <c r="C19" i="43"/>
  <c r="D14" i="43"/>
  <c r="C20" i="43"/>
  <c r="C22" i="43"/>
  <c r="C21" i="43"/>
  <c r="I22" i="2"/>
  <c r="F47" i="60"/>
  <c r="M49" i="59" s="1"/>
  <c r="C29" i="60"/>
  <c r="L31" i="59" s="1"/>
  <c r="M31" i="59"/>
  <c r="C161" i="52"/>
  <c r="M28" i="59"/>
  <c r="C26" i="60"/>
  <c r="L28" i="59" s="1"/>
  <c r="M30" i="59"/>
  <c r="C28" i="60"/>
  <c r="L30" i="59" s="1"/>
  <c r="F37" i="60"/>
  <c r="O35" i="59"/>
  <c r="O39" i="59" s="1"/>
  <c r="I45" i="43"/>
  <c r="K45" i="43"/>
  <c r="E84" i="53"/>
  <c r="M26" i="59"/>
  <c r="C24" i="60"/>
  <c r="L26" i="59" s="1"/>
  <c r="C19" i="60"/>
  <c r="L21" i="59" s="1"/>
  <c r="M21" i="59"/>
  <c r="C23" i="60"/>
  <c r="L25" i="59" s="1"/>
  <c r="M25" i="59"/>
  <c r="C18" i="60"/>
  <c r="L20" i="59" s="1"/>
  <c r="M20" i="59"/>
  <c r="M27" i="59"/>
  <c r="C25" i="60"/>
  <c r="L27" i="59" s="1"/>
  <c r="O56" i="43"/>
  <c r="B21" i="43"/>
  <c r="B78" i="53"/>
  <c r="M24" i="59"/>
  <c r="C22" i="60"/>
  <c r="L24" i="59" s="1"/>
  <c r="M19" i="59"/>
  <c r="C17" i="60"/>
  <c r="L19" i="59" s="1"/>
  <c r="C27" i="60"/>
  <c r="L29" i="59" s="1"/>
  <c r="M29" i="59"/>
  <c r="D1" i="43"/>
  <c r="H10" i="4"/>
  <c r="D29" i="43"/>
  <c r="G12" i="4"/>
  <c r="H30" i="4"/>
  <c r="F16" i="4"/>
  <c r="A8" i="52"/>
  <c r="A472" i="52"/>
  <c r="A13" i="88"/>
  <c r="F40" i="2"/>
  <c r="K35" i="59"/>
  <c r="M46" i="59"/>
  <c r="H3" i="59"/>
  <c r="F17" i="60"/>
  <c r="O19" i="59" s="1"/>
  <c r="H52" i="43"/>
  <c r="F91" i="53" s="1"/>
  <c r="F32" i="4"/>
  <c r="D5" i="53"/>
  <c r="A423" i="89"/>
  <c r="G30" i="57"/>
  <c r="I46" i="60" s="1"/>
  <c r="H28" i="59"/>
  <c r="G28" i="59" s="1"/>
  <c r="H20" i="59"/>
  <c r="G20" i="59" s="1"/>
  <c r="K24" i="5"/>
  <c r="G14" i="5"/>
  <c r="L45" i="43"/>
  <c r="F35" i="3"/>
  <c r="B23" i="54" s="1"/>
  <c r="C3" i="43"/>
  <c r="G33" i="4"/>
  <c r="F29" i="43" s="1"/>
  <c r="D6" i="4"/>
  <c r="G13" i="3"/>
  <c r="A2" i="43"/>
  <c r="E30" i="43"/>
  <c r="B30" i="43" s="1"/>
  <c r="H39" i="4"/>
  <c r="A15" i="52"/>
  <c r="A483" i="52"/>
  <c r="A15" i="80"/>
  <c r="A8" i="89"/>
  <c r="B228" i="88"/>
  <c r="F9" i="3"/>
  <c r="G9" i="3" s="1"/>
  <c r="B11" i="53"/>
  <c r="C22" i="54"/>
  <c r="D47" i="57"/>
  <c r="F25" i="60"/>
  <c r="O27" i="59" s="1"/>
  <c r="B49" i="35"/>
  <c r="B9" i="3" s="1"/>
  <c r="A3" i="43"/>
  <c r="E26" i="4"/>
  <c r="A14" i="52"/>
  <c r="A8" i="88"/>
  <c r="C23" i="54"/>
  <c r="O3" i="58"/>
  <c r="H31" i="59"/>
  <c r="G31" i="59" s="1"/>
  <c r="H27" i="59"/>
  <c r="G27" i="59" s="1"/>
  <c r="H19" i="59"/>
  <c r="G19" i="59" s="1"/>
  <c r="K21" i="59"/>
  <c r="F23" i="60"/>
  <c r="O25" i="59" s="1"/>
  <c r="F29" i="60"/>
  <c r="O31" i="59" s="1"/>
  <c r="D21" i="43"/>
  <c r="A6" i="53"/>
  <c r="B43" i="82"/>
  <c r="A2" i="33"/>
  <c r="I24" i="3"/>
  <c r="H35" i="47"/>
  <c r="F21" i="60"/>
  <c r="O23" i="59" s="1"/>
  <c r="H5" i="4"/>
  <c r="A14" i="82"/>
  <c r="D12" i="4"/>
  <c r="D14" i="4" s="1"/>
  <c r="A8" i="80"/>
  <c r="D11" i="3"/>
  <c r="H12" i="59"/>
  <c r="G12" i="59" s="1"/>
  <c r="E6" i="4"/>
  <c r="A194" i="80"/>
  <c r="A8" i="84"/>
  <c r="D13" i="60"/>
  <c r="C13" i="60" s="1"/>
  <c r="L15" i="59" s="1"/>
  <c r="D28" i="43"/>
  <c r="M35" i="86"/>
  <c r="R35" i="86" s="1"/>
  <c r="J35" i="86"/>
  <c r="J36" i="86" s="1"/>
  <c r="AB36" i="86"/>
  <c r="AB39" i="86"/>
  <c r="AB38" i="86"/>
  <c r="AB37" i="86"/>
  <c r="I32" i="59"/>
  <c r="M13" i="59"/>
  <c r="C11" i="60"/>
  <c r="L13" i="59" s="1"/>
  <c r="K7" i="58"/>
  <c r="G4" i="60" s="1"/>
  <c r="H32" i="58"/>
  <c r="H33" i="58" s="1"/>
  <c r="G47" i="43"/>
  <c r="H16" i="4"/>
  <c r="F25" i="4"/>
  <c r="H4" i="4"/>
  <c r="F7" i="4"/>
  <c r="F5" i="4"/>
  <c r="G57" i="43"/>
  <c r="A72" i="43"/>
  <c r="F33" i="3"/>
  <c r="B21" i="54" s="1"/>
  <c r="D21" i="54" s="1"/>
  <c r="E101" i="35"/>
  <c r="E2" i="4"/>
  <c r="G3" i="5" s="1"/>
  <c r="H5" i="59"/>
  <c r="K2" i="60"/>
  <c r="N5" i="59" s="1"/>
  <c r="R2" i="59" s="1"/>
  <c r="C140" i="89"/>
  <c r="A201" i="84"/>
  <c r="A188" i="80"/>
  <c r="A10" i="80"/>
  <c r="D7" i="53"/>
  <c r="A10" i="89"/>
  <c r="A9" i="84"/>
  <c r="D6" i="53"/>
  <c r="A239" i="88"/>
  <c r="A210" i="84"/>
  <c r="A7" i="88"/>
  <c r="A16" i="84"/>
  <c r="A14" i="88"/>
  <c r="A14" i="89"/>
  <c r="E11" i="3"/>
  <c r="F31" i="3"/>
  <c r="B19" i="54" s="1"/>
  <c r="F5" i="3"/>
  <c r="G5" i="3" s="1"/>
  <c r="J6" i="86"/>
  <c r="G26" i="3"/>
  <c r="I11" i="3"/>
  <c r="I37" i="3"/>
  <c r="F18" i="3"/>
  <c r="G18" i="3" s="1"/>
  <c r="E24" i="3"/>
  <c r="F34" i="3"/>
  <c r="B22" i="54" s="1"/>
  <c r="D24" i="3"/>
  <c r="F8" i="3"/>
  <c r="G8" i="3" s="1"/>
  <c r="E37" i="3"/>
  <c r="AA41" i="86"/>
  <c r="A10" i="84"/>
  <c r="S35" i="86"/>
  <c r="S38" i="86" s="1"/>
  <c r="S45" i="86"/>
  <c r="O2" i="87" s="1"/>
  <c r="A408" i="52"/>
  <c r="G126" i="88"/>
  <c r="P36" i="86"/>
  <c r="S36" i="86"/>
  <c r="M36" i="86"/>
  <c r="E30" i="60"/>
  <c r="D35" i="57" s="1"/>
  <c r="H18" i="59"/>
  <c r="G18" i="59" s="1"/>
  <c r="M18" i="59"/>
  <c r="C16" i="60"/>
  <c r="L18" i="59" s="1"/>
  <c r="F16" i="60"/>
  <c r="O18" i="59" s="1"/>
  <c r="D15" i="60"/>
  <c r="D14" i="60"/>
  <c r="K16" i="59"/>
  <c r="G13" i="60"/>
  <c r="P15" i="59" s="1"/>
  <c r="K15" i="59"/>
  <c r="F13" i="60"/>
  <c r="O15" i="59" s="1"/>
  <c r="B30" i="60"/>
  <c r="D33" i="57" s="1"/>
  <c r="G55" i="60" s="1"/>
  <c r="J32" i="59"/>
  <c r="N32" i="59" s="1"/>
  <c r="D12" i="60"/>
  <c r="D43" i="57"/>
  <c r="D36" i="57"/>
  <c r="C10" i="60"/>
  <c r="M12" i="59"/>
  <c r="Q32" i="58"/>
  <c r="Q41" i="58" s="1"/>
  <c r="Q44" i="58" s="1"/>
  <c r="N33" i="58"/>
  <c r="D23" i="57"/>
  <c r="C56" i="57" s="1"/>
  <c r="K32" i="58"/>
  <c r="B59" i="57" s="1"/>
  <c r="K33" i="58"/>
  <c r="D5" i="60"/>
  <c r="M7" i="59" s="1"/>
  <c r="M6" i="59"/>
  <c r="O6" i="58"/>
  <c r="L51" i="43"/>
  <c r="K42" i="5"/>
  <c r="L53" i="43" s="1"/>
  <c r="L44" i="43"/>
  <c r="D42" i="5"/>
  <c r="G42" i="43"/>
  <c r="G40" i="43"/>
  <c r="L37" i="43"/>
  <c r="G42" i="5"/>
  <c r="E75" i="53"/>
  <c r="J36" i="43"/>
  <c r="D7" i="5"/>
  <c r="H40" i="4"/>
  <c r="E41" i="4"/>
  <c r="H41" i="4" s="1"/>
  <c r="F40" i="4"/>
  <c r="G44" i="5"/>
  <c r="C168" i="89"/>
  <c r="B87" i="53"/>
  <c r="B8" i="44"/>
  <c r="C29" i="83"/>
  <c r="D44" i="5"/>
  <c r="L20" i="43"/>
  <c r="D8" i="4"/>
  <c r="E20" i="43"/>
  <c r="B19" i="43"/>
  <c r="G6" i="4"/>
  <c r="G8" i="4" s="1"/>
  <c r="F19" i="43" s="1"/>
  <c r="A73" i="53" s="1"/>
  <c r="F4" i="4"/>
  <c r="A57" i="43"/>
  <c r="H34" i="47"/>
  <c r="G34" i="43"/>
  <c r="D37" i="3"/>
  <c r="F22" i="3"/>
  <c r="F21" i="3"/>
  <c r="G21" i="3" s="1"/>
  <c r="F20" i="3"/>
  <c r="G20" i="3" s="1"/>
  <c r="F19" i="3"/>
  <c r="G19" i="3" s="1"/>
  <c r="F7" i="3"/>
  <c r="G7" i="3" s="1"/>
  <c r="F6" i="3"/>
  <c r="G6" i="3" s="1"/>
  <c r="I23" i="5"/>
  <c r="A181" i="80"/>
  <c r="A188" i="84"/>
  <c r="Q2" i="87"/>
  <c r="B68" i="53"/>
  <c r="B58" i="35"/>
  <c r="B21" i="3" s="1"/>
  <c r="B23" i="3"/>
  <c r="B55" i="35"/>
  <c r="B18" i="3" s="1"/>
  <c r="B56" i="35"/>
  <c r="B19" i="3" s="1"/>
  <c r="B59" i="35"/>
  <c r="B22" i="3" s="1"/>
  <c r="B60" i="35"/>
  <c r="B57" i="35"/>
  <c r="B20" i="3" s="1"/>
  <c r="B48" i="35"/>
  <c r="B8" i="3" s="1"/>
  <c r="B47" i="35"/>
  <c r="B7" i="3" s="1"/>
  <c r="E34" i="35"/>
  <c r="G34" i="35" s="1"/>
  <c r="I34" i="35" s="1"/>
  <c r="B46" i="35"/>
  <c r="B6" i="3" s="1"/>
  <c r="L5" i="44"/>
  <c r="E75" i="35"/>
  <c r="A7" i="44"/>
  <c r="K7" i="44" s="1"/>
  <c r="K5" i="44"/>
  <c r="E100" i="35"/>
  <c r="AE5" i="43"/>
  <c r="B45" i="35"/>
  <c r="B5" i="3" s="1"/>
  <c r="H29" i="57"/>
  <c r="J45" i="60" s="1"/>
  <c r="D46" i="60" s="1"/>
  <c r="A2" i="80"/>
  <c r="F89" i="53"/>
  <c r="K53" i="86"/>
  <c r="A9" i="88"/>
  <c r="B3" i="59"/>
  <c r="B3" i="86"/>
  <c r="Z5" i="53"/>
  <c r="R1" i="57"/>
  <c r="B3" i="58"/>
  <c r="B61" i="88"/>
  <c r="A2" i="84"/>
  <c r="A42" i="82"/>
  <c r="B91" i="53" l="1"/>
  <c r="B93" i="53" s="1"/>
  <c r="E33" i="43"/>
  <c r="N56" i="43"/>
  <c r="D10" i="44"/>
  <c r="E10" i="44" s="1"/>
  <c r="E7" i="44"/>
  <c r="B83" i="53"/>
  <c r="D176" i="89"/>
  <c r="C176" i="89"/>
  <c r="F26" i="4"/>
  <c r="D8" i="44" s="1"/>
  <c r="E8" i="44" s="1"/>
  <c r="F36" i="2"/>
  <c r="G1" i="5" s="1"/>
  <c r="G34" i="3"/>
  <c r="F9" i="86" s="1"/>
  <c r="C2" i="2"/>
  <c r="F6" i="4"/>
  <c r="AE8" i="43"/>
  <c r="E2" i="3"/>
  <c r="D1" i="5"/>
  <c r="H2" i="3"/>
  <c r="C2" i="3" s="1"/>
  <c r="D67" i="95"/>
  <c r="G135" i="95"/>
  <c r="G136" i="95"/>
  <c r="D11" i="53"/>
  <c r="J3" i="43"/>
  <c r="B198" i="89"/>
  <c r="B195" i="94"/>
  <c r="D45" i="89"/>
  <c r="G476" i="94"/>
  <c r="G475" i="94"/>
  <c r="D45" i="94"/>
  <c r="G485" i="52"/>
  <c r="G467" i="94"/>
  <c r="G466" i="94"/>
  <c r="I11" i="54"/>
  <c r="I13" i="54" s="1"/>
  <c r="I14" i="54" s="1"/>
  <c r="F31" i="4"/>
  <c r="E33" i="4"/>
  <c r="H33" i="4" s="1"/>
  <c r="D17" i="44" s="1"/>
  <c r="D33" i="4"/>
  <c r="F14" i="4"/>
  <c r="F21" i="43"/>
  <c r="E8" i="4"/>
  <c r="F8" i="4" s="1"/>
  <c r="B20" i="54"/>
  <c r="D20" i="54" s="1"/>
  <c r="D25" i="54" s="1"/>
  <c r="G445" i="89"/>
  <c r="G29" i="43"/>
  <c r="G26" i="4"/>
  <c r="E45" i="43" s="1"/>
  <c r="B85" i="53"/>
  <c r="H44" i="4"/>
  <c r="I25" i="3"/>
  <c r="I12" i="3"/>
  <c r="G204" i="80"/>
  <c r="G221" i="84"/>
  <c r="G222" i="84"/>
  <c r="C21" i="60"/>
  <c r="L23" i="59" s="1"/>
  <c r="M23" i="59"/>
  <c r="D22" i="54"/>
  <c r="B36" i="86"/>
  <c r="B35" i="86" s="1"/>
  <c r="G495" i="52"/>
  <c r="G446" i="89"/>
  <c r="G22" i="43"/>
  <c r="I22" i="43" s="1"/>
  <c r="J22" i="43" s="1"/>
  <c r="D46" i="84"/>
  <c r="H6" i="4"/>
  <c r="M22" i="59"/>
  <c r="D46" i="80"/>
  <c r="B80" i="53"/>
  <c r="G25" i="43"/>
  <c r="R1" i="59"/>
  <c r="K41" i="43"/>
  <c r="J41" i="43"/>
  <c r="E79" i="53"/>
  <c r="AB3" i="43"/>
  <c r="AE11" i="43" s="1"/>
  <c r="E42" i="43"/>
  <c r="I38" i="3"/>
  <c r="I77" i="43"/>
  <c r="D3" i="43"/>
  <c r="G494" i="52"/>
  <c r="H42" i="54"/>
  <c r="D44" i="88"/>
  <c r="G203" i="80"/>
  <c r="F49" i="60"/>
  <c r="D48" i="57" s="1"/>
  <c r="F46" i="60"/>
  <c r="D23" i="54"/>
  <c r="F28" i="43"/>
  <c r="H37" i="4"/>
  <c r="B59" i="60"/>
  <c r="E4" i="60"/>
  <c r="I4" i="60" s="1"/>
  <c r="J4" i="60" s="1"/>
  <c r="I32" i="35"/>
  <c r="I32" i="2"/>
  <c r="B28" i="53"/>
  <c r="H12" i="4"/>
  <c r="F12" i="4"/>
  <c r="H14" i="4"/>
  <c r="D33" i="43"/>
  <c r="D45" i="52"/>
  <c r="B99" i="53"/>
  <c r="B194" i="94" s="1"/>
  <c r="H31" i="4"/>
  <c r="D15" i="43"/>
  <c r="G33" i="3"/>
  <c r="F8" i="86" s="1"/>
  <c r="G35" i="3"/>
  <c r="F10" i="86" s="1"/>
  <c r="G241" i="88"/>
  <c r="G212" i="84"/>
  <c r="G196" i="80"/>
  <c r="B86" i="53"/>
  <c r="G436" i="89"/>
  <c r="G242" i="88"/>
  <c r="G213" i="84"/>
  <c r="G197" i="80"/>
  <c r="G437" i="89"/>
  <c r="H37" i="47"/>
  <c r="B216" i="88"/>
  <c r="D46" i="57"/>
  <c r="E40" i="43"/>
  <c r="E36" i="43"/>
  <c r="E41" i="43"/>
  <c r="F20" i="43"/>
  <c r="M15" i="59"/>
  <c r="G30" i="43"/>
  <c r="G32" i="59"/>
  <c r="G33" i="59" s="1"/>
  <c r="B9" i="44"/>
  <c r="P32" i="58"/>
  <c r="D28" i="57" s="1"/>
  <c r="D8" i="33"/>
  <c r="K32" i="59"/>
  <c r="G5" i="60"/>
  <c r="F3" i="57"/>
  <c r="K47" i="43"/>
  <c r="I47" i="43"/>
  <c r="J47" i="43" s="1"/>
  <c r="E86" i="53"/>
  <c r="F41" i="4"/>
  <c r="H5" i="44"/>
  <c r="F37" i="3"/>
  <c r="L27" i="5" s="1"/>
  <c r="B63" i="53"/>
  <c r="K3" i="60"/>
  <c r="G31" i="3"/>
  <c r="F24" i="3"/>
  <c r="P16" i="3" s="1"/>
  <c r="Y11" i="43" s="1"/>
  <c r="H16" i="5"/>
  <c r="M16" i="5" s="1"/>
  <c r="L16" i="5"/>
  <c r="D42" i="43" s="1"/>
  <c r="D25" i="3"/>
  <c r="G22" i="3"/>
  <c r="G24" i="3" s="1"/>
  <c r="H19" i="3" s="1"/>
  <c r="D38" i="3"/>
  <c r="K6" i="86"/>
  <c r="L6" i="86" s="1"/>
  <c r="AD32" i="86"/>
  <c r="G11" i="3"/>
  <c r="H6" i="3" s="1"/>
  <c r="F11" i="3"/>
  <c r="M17" i="59"/>
  <c r="C15" i="60"/>
  <c r="E56" i="60"/>
  <c r="M16" i="59"/>
  <c r="C14" i="60"/>
  <c r="J33" i="59"/>
  <c r="D55" i="57"/>
  <c r="C63" i="53"/>
  <c r="C12" i="60"/>
  <c r="M14" i="59"/>
  <c r="D24" i="57"/>
  <c r="E55" i="60"/>
  <c r="C55" i="57"/>
  <c r="F10" i="60"/>
  <c r="L12" i="59"/>
  <c r="G10" i="60"/>
  <c r="P12" i="59" s="1"/>
  <c r="E57" i="60"/>
  <c r="Q33" i="58"/>
  <c r="H4" i="60"/>
  <c r="C57" i="57"/>
  <c r="D30" i="57"/>
  <c r="C54" i="57" s="1"/>
  <c r="B60" i="60"/>
  <c r="B60" i="57"/>
  <c r="H6" i="59"/>
  <c r="O7" i="58"/>
  <c r="H7" i="59" s="1"/>
  <c r="D46" i="5"/>
  <c r="D41" i="2" s="1"/>
  <c r="I42" i="43"/>
  <c r="J42" i="43" s="1"/>
  <c r="E81" i="53"/>
  <c r="K42" i="43"/>
  <c r="K40" i="43"/>
  <c r="J40" i="43"/>
  <c r="E78" i="53"/>
  <c r="G46" i="5"/>
  <c r="G47" i="5" s="1"/>
  <c r="E45" i="4"/>
  <c r="G27" i="43"/>
  <c r="I27" i="43" s="1"/>
  <c r="G26" i="43"/>
  <c r="I26" i="43" s="1"/>
  <c r="H24" i="4"/>
  <c r="F24" i="4"/>
  <c r="F44" i="4"/>
  <c r="D45" i="4"/>
  <c r="D29" i="83"/>
  <c r="E29" i="83" s="1"/>
  <c r="F10" i="44"/>
  <c r="G19" i="43"/>
  <c r="B74" i="53"/>
  <c r="B75" i="53" s="1"/>
  <c r="H34" i="43"/>
  <c r="H43" i="4"/>
  <c r="F43" i="4"/>
  <c r="I10" i="86"/>
  <c r="L7" i="44"/>
  <c r="A15" i="44"/>
  <c r="A8" i="44"/>
  <c r="G29" i="57"/>
  <c r="I45" i="60" s="1"/>
  <c r="F8" i="44" l="1"/>
  <c r="E1" i="4"/>
  <c r="H15" i="3"/>
  <c r="B89" i="53"/>
  <c r="B88" i="53"/>
  <c r="B103" i="53" s="1"/>
  <c r="J29" i="43"/>
  <c r="J2" i="3"/>
  <c r="D12" i="3" s="1"/>
  <c r="I15" i="54"/>
  <c r="E15" i="3"/>
  <c r="D15" i="3" s="1"/>
  <c r="A78" i="53"/>
  <c r="B24" i="54"/>
  <c r="F25" i="54" s="1"/>
  <c r="H8" i="4"/>
  <c r="H23" i="54"/>
  <c r="H22" i="54"/>
  <c r="H21" i="54"/>
  <c r="H20" i="54"/>
  <c r="H19" i="54" s="1"/>
  <c r="F19" i="54" s="1"/>
  <c r="F8" i="33"/>
  <c r="A463" i="52"/>
  <c r="A74" i="53"/>
  <c r="A442" i="94"/>
  <c r="A412" i="89"/>
  <c r="A64" i="82"/>
  <c r="A377" i="94"/>
  <c r="G21" i="43"/>
  <c r="K21" i="43" s="1"/>
  <c r="B45" i="43"/>
  <c r="B94" i="53"/>
  <c r="B95" i="53" s="1"/>
  <c r="L17" i="44"/>
  <c r="K17" i="44" s="1"/>
  <c r="D15" i="44" s="1"/>
  <c r="F33" i="4"/>
  <c r="D16" i="44" s="1"/>
  <c r="L11" i="5"/>
  <c r="L9" i="5"/>
  <c r="D37" i="43" s="1"/>
  <c r="L18" i="5"/>
  <c r="D39" i="43" s="1"/>
  <c r="L32" i="5"/>
  <c r="D48" i="43" s="1"/>
  <c r="L20" i="5"/>
  <c r="D43" i="43" s="1"/>
  <c r="L22" i="5"/>
  <c r="L38" i="5"/>
  <c r="D51" i="43" s="1"/>
  <c r="L5" i="5"/>
  <c r="L35" i="43" s="1"/>
  <c r="L26" i="5"/>
  <c r="H38" i="5"/>
  <c r="M38" i="5" s="1"/>
  <c r="H32" i="5"/>
  <c r="M32" i="5" s="1"/>
  <c r="H11" i="5"/>
  <c r="M11" i="5" s="1"/>
  <c r="H44" i="5"/>
  <c r="H20" i="5"/>
  <c r="M20" i="5" s="1"/>
  <c r="H26" i="5"/>
  <c r="M26" i="5" s="1"/>
  <c r="H26" i="3"/>
  <c r="E12" i="5"/>
  <c r="E38" i="5"/>
  <c r="H13" i="3"/>
  <c r="I25" i="43"/>
  <c r="H26" i="4"/>
  <c r="D9" i="44" s="1"/>
  <c r="E9" i="44" s="1"/>
  <c r="B165" i="52"/>
  <c r="B197" i="89"/>
  <c r="K44" i="5"/>
  <c r="K46" i="5" s="1"/>
  <c r="G45" i="4"/>
  <c r="H45" i="4" s="1"/>
  <c r="I19" i="43"/>
  <c r="J19" i="43" s="1"/>
  <c r="M51" i="59"/>
  <c r="G20" i="43"/>
  <c r="N58" i="43" s="1"/>
  <c r="N57" i="43" s="1"/>
  <c r="E47" i="43"/>
  <c r="H6" i="5"/>
  <c r="M6" i="5" s="1"/>
  <c r="H12" i="5"/>
  <c r="H42" i="5"/>
  <c r="H23" i="5"/>
  <c r="H24" i="5" s="1"/>
  <c r="M24" i="5" s="1"/>
  <c r="L42" i="5"/>
  <c r="G28" i="43"/>
  <c r="H13" i="5"/>
  <c r="E28" i="53"/>
  <c r="D28" i="53"/>
  <c r="C28" i="53"/>
  <c r="F28" i="53"/>
  <c r="H27" i="5"/>
  <c r="H28" i="5" s="1"/>
  <c r="AA29" i="3"/>
  <c r="Z11" i="43" s="1"/>
  <c r="H9" i="3"/>
  <c r="E42" i="5"/>
  <c r="E63" i="53"/>
  <c r="D45" i="57"/>
  <c r="F11" i="86"/>
  <c r="G6" i="86"/>
  <c r="D119" i="88" s="1"/>
  <c r="L6" i="5"/>
  <c r="D36" i="43" s="1"/>
  <c r="F17" i="44"/>
  <c r="G16" i="44" s="1"/>
  <c r="E17" i="44"/>
  <c r="L13" i="5"/>
  <c r="D41" i="43" s="1"/>
  <c r="L23" i="5"/>
  <c r="D45" i="43" s="1"/>
  <c r="L12" i="5"/>
  <c r="D40" i="43" s="1"/>
  <c r="A92" i="53"/>
  <c r="I30" i="43"/>
  <c r="J30" i="43" s="1"/>
  <c r="B100" i="53"/>
  <c r="B101" i="53" s="1"/>
  <c r="G37" i="3"/>
  <c r="H33" i="3" s="1"/>
  <c r="C30" i="60"/>
  <c r="D34" i="57" s="1"/>
  <c r="F45" i="4"/>
  <c r="D47" i="5"/>
  <c r="H9" i="5"/>
  <c r="M9" i="5" s="1"/>
  <c r="O5" i="59"/>
  <c r="L3" i="60"/>
  <c r="I5" i="60" s="1"/>
  <c r="B2" i="57"/>
  <c r="AD33" i="86"/>
  <c r="AD35" i="86" s="1"/>
  <c r="H22" i="5"/>
  <c r="M22" i="5" s="1"/>
  <c r="H5" i="5"/>
  <c r="M5" i="5" s="1"/>
  <c r="H7" i="3"/>
  <c r="X6" i="43" s="1"/>
  <c r="H5" i="3"/>
  <c r="H18" i="5"/>
  <c r="M18" i="5" s="1"/>
  <c r="H10" i="3"/>
  <c r="H8" i="3"/>
  <c r="G10" i="86"/>
  <c r="D123" i="88" s="1"/>
  <c r="G9" i="86"/>
  <c r="D122" i="88" s="1"/>
  <c r="G7" i="86"/>
  <c r="D120" i="88" s="1"/>
  <c r="F14" i="43"/>
  <c r="P2" i="3"/>
  <c r="X11" i="43" s="1"/>
  <c r="E6" i="5"/>
  <c r="I6" i="5" s="1"/>
  <c r="E9" i="5"/>
  <c r="E26" i="5"/>
  <c r="E27" i="5"/>
  <c r="E11" i="5"/>
  <c r="E18" i="5"/>
  <c r="E5" i="5"/>
  <c r="E16" i="5"/>
  <c r="E32" i="5"/>
  <c r="E22" i="5"/>
  <c r="E20" i="5"/>
  <c r="E13" i="5"/>
  <c r="E44" i="5"/>
  <c r="I44" i="5" s="1"/>
  <c r="G8" i="86"/>
  <c r="D121" i="88" s="1"/>
  <c r="E46" i="5"/>
  <c r="E54" i="60"/>
  <c r="A309" i="52"/>
  <c r="L17" i="59"/>
  <c r="G15" i="60"/>
  <c r="P17" i="59" s="1"/>
  <c r="F15" i="60"/>
  <c r="O17" i="59" s="1"/>
  <c r="H37" i="54"/>
  <c r="I82" i="43"/>
  <c r="A348" i="89"/>
  <c r="L16" i="59"/>
  <c r="F14" i="60"/>
  <c r="O16" i="59" s="1"/>
  <c r="G14" i="60"/>
  <c r="P16" i="59" s="1"/>
  <c r="L14" i="59"/>
  <c r="G12" i="60"/>
  <c r="P14" i="59" s="1"/>
  <c r="F12" i="60"/>
  <c r="O14" i="59" s="1"/>
  <c r="I43" i="60"/>
  <c r="G28" i="57"/>
  <c r="O12" i="59"/>
  <c r="C31" i="60"/>
  <c r="H46" i="5"/>
  <c r="F41" i="2"/>
  <c r="F43" i="2" s="1"/>
  <c r="M58" i="43"/>
  <c r="D42" i="2"/>
  <c r="D43" i="2"/>
  <c r="D47" i="43"/>
  <c r="L28" i="5"/>
  <c r="H18" i="3"/>
  <c r="H22" i="3"/>
  <c r="Y5" i="43"/>
  <c r="AG8" i="43" s="1"/>
  <c r="A16" i="44"/>
  <c r="K16" i="44" s="1"/>
  <c r="A9" i="44"/>
  <c r="A17" i="44" s="1"/>
  <c r="H23" i="3"/>
  <c r="H21" i="3"/>
  <c r="L16" i="44"/>
  <c r="H20" i="3"/>
  <c r="X5" i="43"/>
  <c r="D46" i="43" l="1"/>
  <c r="K2" i="33"/>
  <c r="D24" i="54"/>
  <c r="H67" i="54"/>
  <c r="F404" i="94"/>
  <c r="C33" i="54"/>
  <c r="C32" i="54"/>
  <c r="F56" i="54"/>
  <c r="G56" i="54"/>
  <c r="C34" i="54"/>
  <c r="H24" i="54" s="1"/>
  <c r="B153" i="94"/>
  <c r="I21" i="43"/>
  <c r="J21" i="43" s="1"/>
  <c r="B81" i="53"/>
  <c r="B82" i="53" s="1"/>
  <c r="O58" i="43"/>
  <c r="O57" i="43" s="1"/>
  <c r="M56" i="43"/>
  <c r="M57" i="43" s="1"/>
  <c r="B153" i="52"/>
  <c r="C98" i="53"/>
  <c r="B25" i="43"/>
  <c r="B153" i="89"/>
  <c r="C84" i="53"/>
  <c r="H47" i="5"/>
  <c r="I38" i="5"/>
  <c r="E14" i="5"/>
  <c r="F16" i="44"/>
  <c r="G15" i="44" s="1"/>
  <c r="E16" i="44"/>
  <c r="F15" i="44"/>
  <c r="F18" i="44" s="1"/>
  <c r="E15" i="44"/>
  <c r="D18" i="44"/>
  <c r="E18" i="44" s="1"/>
  <c r="I40" i="3"/>
  <c r="L14" i="5"/>
  <c r="D38" i="43" s="1"/>
  <c r="L44" i="5"/>
  <c r="M44" i="5" s="1"/>
  <c r="F9" i="44"/>
  <c r="G8" i="44" s="1"/>
  <c r="H8" i="44" s="1"/>
  <c r="I27" i="5"/>
  <c r="K20" i="43"/>
  <c r="I34" i="43"/>
  <c r="B76" i="53"/>
  <c r="B77" i="53" s="1"/>
  <c r="I20" i="43"/>
  <c r="J20" i="43" s="1"/>
  <c r="M12" i="5"/>
  <c r="M42" i="5"/>
  <c r="I42" i="5"/>
  <c r="I12" i="5"/>
  <c r="H7" i="5"/>
  <c r="X9" i="43"/>
  <c r="AJ6" i="43" s="1"/>
  <c r="M23" i="5"/>
  <c r="M27" i="5"/>
  <c r="H14" i="5"/>
  <c r="M14" i="5" s="1"/>
  <c r="I28" i="43"/>
  <c r="B97" i="53"/>
  <c r="B98" i="53" s="1"/>
  <c r="M13" i="5"/>
  <c r="H35" i="3"/>
  <c r="F8" i="43" s="1"/>
  <c r="H32" i="3"/>
  <c r="Z5" i="43" s="1"/>
  <c r="AG9" i="43" s="1"/>
  <c r="L24" i="5"/>
  <c r="D44" i="43" s="1"/>
  <c r="H31" i="3"/>
  <c r="B8" i="43" s="1"/>
  <c r="H34" i="3"/>
  <c r="E8" i="43" s="1"/>
  <c r="H6" i="86"/>
  <c r="X8" i="43"/>
  <c r="AI6" i="43" s="1"/>
  <c r="L7" i="5"/>
  <c r="D35" i="43" s="1"/>
  <c r="F336" i="52"/>
  <c r="F374" i="89"/>
  <c r="F42" i="2"/>
  <c r="H11" i="3"/>
  <c r="E47" i="5"/>
  <c r="X4" i="43"/>
  <c r="AE37" i="86"/>
  <c r="AF37" i="86" s="1"/>
  <c r="AE36" i="86"/>
  <c r="AF36" i="86" s="1"/>
  <c r="AE38" i="86"/>
  <c r="AF38" i="86" s="1"/>
  <c r="AE35" i="86"/>
  <c r="AE39" i="86"/>
  <c r="AF39" i="86" s="1"/>
  <c r="I13" i="5"/>
  <c r="Y9" i="43"/>
  <c r="AJ8" i="43" s="1"/>
  <c r="B90" i="53"/>
  <c r="I18" i="5"/>
  <c r="H8" i="86"/>
  <c r="I32" i="5"/>
  <c r="E7" i="5"/>
  <c r="I26" i="5"/>
  <c r="I22" i="5"/>
  <c r="E24" i="5"/>
  <c r="I16" i="5"/>
  <c r="I20" i="5"/>
  <c r="I5" i="5"/>
  <c r="I9" i="5"/>
  <c r="G11" i="86"/>
  <c r="H9" i="86"/>
  <c r="I11" i="5"/>
  <c r="G10" i="43"/>
  <c r="G11" i="43" s="1"/>
  <c r="B11" i="43" s="1"/>
  <c r="H10" i="86"/>
  <c r="Y4" i="43"/>
  <c r="AF8" i="43" s="1"/>
  <c r="E28" i="5"/>
  <c r="I28" i="5" s="1"/>
  <c r="H7" i="86"/>
  <c r="I46" i="5"/>
  <c r="L32" i="59"/>
  <c r="L33" i="59" s="1"/>
  <c r="F30" i="60"/>
  <c r="F39" i="60" s="1"/>
  <c r="O32" i="59"/>
  <c r="O41" i="59" s="1"/>
  <c r="P45" i="59"/>
  <c r="P49" i="59" s="1"/>
  <c r="G27" i="57"/>
  <c r="I42" i="60" s="1"/>
  <c r="G57" i="60"/>
  <c r="D37" i="57"/>
  <c r="D57" i="57"/>
  <c r="D56" i="57"/>
  <c r="G56" i="60"/>
  <c r="F31" i="60"/>
  <c r="O33" i="59"/>
  <c r="M28" i="5"/>
  <c r="H41" i="2"/>
  <c r="L46" i="5"/>
  <c r="K47" i="5"/>
  <c r="H69" i="54"/>
  <c r="H73" i="54" s="1"/>
  <c r="H74" i="54" s="1"/>
  <c r="H71" i="54"/>
  <c r="H82" i="54" s="1"/>
  <c r="D8" i="43"/>
  <c r="Z6" i="43"/>
  <c r="AH9" i="43" s="1"/>
  <c r="Y8" i="43"/>
  <c r="AI8" i="43" s="1"/>
  <c r="AH6" i="43"/>
  <c r="H24" i="3"/>
  <c r="AB5" i="43"/>
  <c r="AG11" i="43" s="1"/>
  <c r="AG6" i="43"/>
  <c r="AA5" i="43"/>
  <c r="AG10" i="43" s="1"/>
  <c r="Y6" i="43"/>
  <c r="AH8" i="43" s="1"/>
  <c r="G14" i="44" l="1"/>
  <c r="C157" i="94"/>
  <c r="C157" i="89"/>
  <c r="D98" i="53"/>
  <c r="E98" i="53" s="1"/>
  <c r="C159" i="52" s="1"/>
  <c r="J33" i="43"/>
  <c r="E27" i="83" s="1"/>
  <c r="E28" i="83" s="1"/>
  <c r="E31" i="83" s="1"/>
  <c r="G7" i="44"/>
  <c r="H7" i="44" s="1"/>
  <c r="G6" i="44"/>
  <c r="H6" i="44" s="1"/>
  <c r="I14" i="5"/>
  <c r="AA4" i="43"/>
  <c r="AF10" i="43" s="1"/>
  <c r="AB9" i="43"/>
  <c r="AJ11" i="43" s="1"/>
  <c r="Z8" i="43"/>
  <c r="AI9" i="43" s="1"/>
  <c r="B104" i="53"/>
  <c r="C8" i="43"/>
  <c r="D19" i="83" s="1"/>
  <c r="D16" i="83" s="1"/>
  <c r="D18" i="83" s="1"/>
  <c r="Z9" i="43"/>
  <c r="AJ9" i="43" s="1"/>
  <c r="Z4" i="43"/>
  <c r="AF9" i="43" s="1"/>
  <c r="H37" i="3"/>
  <c r="AA8" i="43"/>
  <c r="AI10" i="43" s="1"/>
  <c r="D53" i="43"/>
  <c r="X10" i="43"/>
  <c r="AF6" i="43"/>
  <c r="AK6" i="43" s="1"/>
  <c r="I24" i="5"/>
  <c r="AB4" i="43"/>
  <c r="AF11" i="43" s="1"/>
  <c r="AE40" i="86"/>
  <c r="H11" i="86"/>
  <c r="N10" i="86" s="1"/>
  <c r="AF35" i="86"/>
  <c r="AF40" i="86" s="1"/>
  <c r="AA9" i="43"/>
  <c r="AJ10" i="43" s="1"/>
  <c r="E11" i="43"/>
  <c r="E10" i="43" s="1"/>
  <c r="E12" i="43" s="1"/>
  <c r="C11" i="43"/>
  <c r="F11" i="43"/>
  <c r="F10" i="43" s="1"/>
  <c r="F12" i="43" s="1"/>
  <c r="D11" i="43"/>
  <c r="D10" i="43" s="1"/>
  <c r="D12" i="43" s="1"/>
  <c r="AB8" i="43"/>
  <c r="AI11" i="43" s="1"/>
  <c r="F43" i="60"/>
  <c r="D54" i="57"/>
  <c r="G54" i="60"/>
  <c r="L47" i="5"/>
  <c r="M46" i="5"/>
  <c r="H75" i="54"/>
  <c r="H80" i="54" s="1"/>
  <c r="F19" i="83"/>
  <c r="F16" i="83" s="1"/>
  <c r="F18" i="83" s="1"/>
  <c r="D26" i="54"/>
  <c r="I16" i="54" s="1"/>
  <c r="H25" i="54"/>
  <c r="H26" i="54" s="1"/>
  <c r="H27" i="54" s="1"/>
  <c r="J24" i="54"/>
  <c r="F26" i="54"/>
  <c r="F27" i="54" s="1"/>
  <c r="G19" i="83"/>
  <c r="G16" i="83" s="1"/>
  <c r="G18" i="83" s="1"/>
  <c r="H79" i="54"/>
  <c r="E19" i="83"/>
  <c r="E16" i="83" s="1"/>
  <c r="E18" i="83" s="1"/>
  <c r="C19" i="83"/>
  <c r="B10" i="43"/>
  <c r="B12" i="43" s="1"/>
  <c r="Y10" i="43"/>
  <c r="AA6" i="43"/>
  <c r="AH10" i="43" s="1"/>
  <c r="AB6" i="43"/>
  <c r="AH11" i="43" s="1"/>
  <c r="AK8" i="43"/>
  <c r="AK9" i="43" l="1"/>
  <c r="C156" i="52"/>
  <c r="C10" i="43"/>
  <c r="C12" i="43" s="1"/>
  <c r="C6" i="43" s="1"/>
  <c r="G8" i="43"/>
  <c r="Z10" i="43"/>
  <c r="H76" i="54"/>
  <c r="AK11" i="43"/>
  <c r="H81" i="54"/>
  <c r="H83" i="54" s="1"/>
  <c r="H84" i="54" s="1"/>
  <c r="AA10" i="43"/>
  <c r="AB10" i="43"/>
  <c r="D41" i="57"/>
  <c r="M45" i="59"/>
  <c r="F15" i="53"/>
  <c r="F6" i="43"/>
  <c r="F43" i="83"/>
  <c r="F15" i="83"/>
  <c r="F42" i="83" s="1"/>
  <c r="D15" i="83"/>
  <c r="D42" i="83" s="1"/>
  <c r="D43" i="83"/>
  <c r="G15" i="83"/>
  <c r="G42" i="83" s="1"/>
  <c r="G43" i="83"/>
  <c r="E43" i="83"/>
  <c r="E15" i="83"/>
  <c r="E42" i="83" s="1"/>
  <c r="E15" i="53"/>
  <c r="E6" i="43"/>
  <c r="D6" i="43"/>
  <c r="D15" i="53"/>
  <c r="C16" i="83"/>
  <c r="H19" i="83"/>
  <c r="C15" i="53"/>
  <c r="B15" i="53"/>
  <c r="B6" i="43"/>
  <c r="AK10" i="43"/>
  <c r="G12" i="43" l="1"/>
  <c r="D68" i="99"/>
  <c r="A68" i="99"/>
  <c r="B74" i="101"/>
  <c r="B73" i="101"/>
  <c r="B75" i="101"/>
  <c r="E68" i="99"/>
  <c r="C68" i="99"/>
  <c r="B68" i="99"/>
  <c r="H23" i="43"/>
  <c r="H24" i="43"/>
  <c r="E106" i="92"/>
  <c r="E110" i="92" s="1"/>
  <c r="B106" i="92"/>
  <c r="B111" i="92" s="1"/>
  <c r="F106" i="92"/>
  <c r="F111" i="92" s="1"/>
  <c r="D106" i="92"/>
  <c r="D111" i="92" s="1"/>
  <c r="B79" i="43"/>
  <c r="C106" i="92"/>
  <c r="C137" i="92" s="1"/>
  <c r="E16" i="53"/>
  <c r="D138" i="92"/>
  <c r="D136" i="92"/>
  <c r="D137" i="92"/>
  <c r="E138" i="92"/>
  <c r="E136" i="92"/>
  <c r="E137" i="92"/>
  <c r="B136" i="92"/>
  <c r="B138" i="92"/>
  <c r="B137" i="92"/>
  <c r="F137" i="92"/>
  <c r="F138" i="92"/>
  <c r="F136" i="92"/>
  <c r="H12" i="43"/>
  <c r="K18" i="76" s="1"/>
  <c r="H51" i="43"/>
  <c r="G51" i="43" s="1"/>
  <c r="H43" i="43"/>
  <c r="G43" i="43" s="1"/>
  <c r="H37" i="43"/>
  <c r="G37" i="43" s="1"/>
  <c r="H48" i="43"/>
  <c r="G48" i="43" s="1"/>
  <c r="H39" i="43"/>
  <c r="F80" i="53" s="1"/>
  <c r="F42" i="60"/>
  <c r="D40" i="57"/>
  <c r="M44" i="59"/>
  <c r="D63" i="53"/>
  <c r="B18" i="53"/>
  <c r="C16" i="53" s="1"/>
  <c r="E14" i="53"/>
  <c r="C18" i="83"/>
  <c r="I16" i="83"/>
  <c r="B81" i="43"/>
  <c r="C14" i="53"/>
  <c r="F14" i="53"/>
  <c r="B14" i="53"/>
  <c r="G6" i="43"/>
  <c r="H14" i="43" s="1"/>
  <c r="D14" i="53"/>
  <c r="H26" i="43"/>
  <c r="H38" i="43"/>
  <c r="H30" i="43"/>
  <c r="H28" i="43"/>
  <c r="H40" i="43"/>
  <c r="H36" i="43"/>
  <c r="C36" i="43"/>
  <c r="B36" i="43" s="1"/>
  <c r="H21" i="43"/>
  <c r="H42" i="43"/>
  <c r="F81" i="43"/>
  <c r="H35" i="43"/>
  <c r="G50" i="43"/>
  <c r="H29" i="43"/>
  <c r="C40" i="43"/>
  <c r="B40" i="43" s="1"/>
  <c r="H41" i="43"/>
  <c r="H27" i="43"/>
  <c r="H47" i="43"/>
  <c r="C41" i="43"/>
  <c r="B41" i="43" s="1"/>
  <c r="H45" i="43"/>
  <c r="F84" i="53" s="1"/>
  <c r="G52" i="43"/>
  <c r="F36" i="47"/>
  <c r="C42" i="43"/>
  <c r="B42" i="43" s="1"/>
  <c r="B22" i="43" s="1"/>
  <c r="H22" i="43"/>
  <c r="H25" i="43"/>
  <c r="C47" i="43"/>
  <c r="B47" i="43" s="1"/>
  <c r="B20" i="43" s="1"/>
  <c r="H46" i="43"/>
  <c r="F111" i="43"/>
  <c r="H36" i="47"/>
  <c r="H38" i="47" s="1"/>
  <c r="H20" i="43"/>
  <c r="H44" i="43"/>
  <c r="H19" i="43"/>
  <c r="AA11" i="43"/>
  <c r="AB11" i="43"/>
  <c r="G56" i="99" l="1"/>
  <c r="F56" i="99" s="1"/>
  <c r="G55" i="99"/>
  <c r="F55" i="99" s="1"/>
  <c r="G54" i="99"/>
  <c r="F54" i="99" s="1"/>
  <c r="C74" i="101"/>
  <c r="C75" i="101"/>
  <c r="C73" i="101"/>
  <c r="A74" i="101"/>
  <c r="A73" i="101"/>
  <c r="A75" i="101"/>
  <c r="E73" i="101"/>
  <c r="E75" i="101"/>
  <c r="E74" i="101"/>
  <c r="D74" i="101"/>
  <c r="D75" i="101"/>
  <c r="D73" i="101"/>
  <c r="E112" i="92"/>
  <c r="B110" i="92"/>
  <c r="B112" i="92"/>
  <c r="E111" i="92"/>
  <c r="A384" i="94"/>
  <c r="D110" i="92"/>
  <c r="D112" i="92"/>
  <c r="F88" i="53"/>
  <c r="J10" i="54"/>
  <c r="J11" i="54" s="1"/>
  <c r="J13" i="54" s="1"/>
  <c r="J23" i="54" s="1"/>
  <c r="F110" i="92"/>
  <c r="F112" i="92"/>
  <c r="C136" i="92"/>
  <c r="C138" i="92"/>
  <c r="G138" i="92" s="1"/>
  <c r="G72" i="93" s="1"/>
  <c r="C110" i="92"/>
  <c r="C111" i="92"/>
  <c r="C112" i="92"/>
  <c r="D127" i="94"/>
  <c r="D128" i="94"/>
  <c r="D125" i="94"/>
  <c r="D129" i="94"/>
  <c r="G137" i="92"/>
  <c r="D126" i="94"/>
  <c r="F16" i="53"/>
  <c r="B16" i="53"/>
  <c r="G125" i="94" s="1"/>
  <c r="G126" i="52"/>
  <c r="G126" i="89"/>
  <c r="G126" i="94"/>
  <c r="G128" i="94"/>
  <c r="G128" i="52"/>
  <c r="G128" i="89"/>
  <c r="D16" i="53"/>
  <c r="F139" i="92"/>
  <c r="B139" i="92"/>
  <c r="E139" i="92"/>
  <c r="D155" i="93"/>
  <c r="E155" i="93" s="1"/>
  <c r="D156" i="93"/>
  <c r="E156" i="93" s="1"/>
  <c r="D153" i="93"/>
  <c r="E153" i="93" s="1"/>
  <c r="D154" i="93"/>
  <c r="E154" i="93" s="1"/>
  <c r="D152" i="93"/>
  <c r="E142" i="84"/>
  <c r="E291" i="94"/>
  <c r="D139" i="92"/>
  <c r="D34" i="43"/>
  <c r="B29" i="43"/>
  <c r="F113" i="92"/>
  <c r="E264" i="89"/>
  <c r="E136" i="80"/>
  <c r="R9" i="86"/>
  <c r="G39" i="43"/>
  <c r="E80" i="53" s="1"/>
  <c r="F87" i="53"/>
  <c r="F76" i="53"/>
  <c r="F82" i="53"/>
  <c r="F90" i="53"/>
  <c r="H38" i="54"/>
  <c r="A355" i="89"/>
  <c r="A316" i="52"/>
  <c r="I83" i="43"/>
  <c r="E82" i="53"/>
  <c r="K43" i="43"/>
  <c r="I43" i="43"/>
  <c r="F81" i="53"/>
  <c r="F74" i="53"/>
  <c r="G35" i="43"/>
  <c r="K35" i="43"/>
  <c r="H53" i="43"/>
  <c r="D125" i="52"/>
  <c r="D125" i="89"/>
  <c r="B17" i="53"/>
  <c r="G44" i="43"/>
  <c r="F83" i="53"/>
  <c r="F86" i="53"/>
  <c r="D129" i="89"/>
  <c r="D129" i="52"/>
  <c r="H123" i="88"/>
  <c r="F77" i="53"/>
  <c r="G38" i="43"/>
  <c r="F79" i="53"/>
  <c r="F38" i="47"/>
  <c r="F42" i="47" s="1"/>
  <c r="F43" i="47" s="1"/>
  <c r="F40" i="47"/>
  <c r="F51" i="47" s="1"/>
  <c r="D126" i="89"/>
  <c r="D126" i="52"/>
  <c r="H120" i="88"/>
  <c r="E91" i="53"/>
  <c r="K52" i="43"/>
  <c r="J52" i="43"/>
  <c r="C38" i="43"/>
  <c r="H122" i="88"/>
  <c r="D128" i="52"/>
  <c r="D128" i="89"/>
  <c r="K37" i="43"/>
  <c r="E76" i="53"/>
  <c r="I37" i="43"/>
  <c r="J37" i="43" s="1"/>
  <c r="E87" i="53"/>
  <c r="I48" i="43"/>
  <c r="J48" i="43" s="1"/>
  <c r="K48" i="43"/>
  <c r="K51" i="43"/>
  <c r="I51" i="43"/>
  <c r="E90" i="53"/>
  <c r="F75" i="53"/>
  <c r="Q58" i="43"/>
  <c r="B59" i="43"/>
  <c r="C43" i="83"/>
  <c r="H43" i="83" s="1"/>
  <c r="H18" i="83"/>
  <c r="C15" i="83"/>
  <c r="B58" i="43"/>
  <c r="P58" i="43"/>
  <c r="D127" i="89"/>
  <c r="H121" i="88"/>
  <c r="D127" i="52"/>
  <c r="F85" i="53"/>
  <c r="G46" i="43"/>
  <c r="E89" i="53"/>
  <c r="I50" i="43"/>
  <c r="J50" i="43" s="1"/>
  <c r="F78" i="53"/>
  <c r="A62" i="99" l="1"/>
  <c r="A74" i="99" s="1"/>
  <c r="B62" i="99"/>
  <c r="B74" i="99" s="1"/>
  <c r="D62" i="99"/>
  <c r="D74" i="99" s="1"/>
  <c r="E62" i="99"/>
  <c r="E74" i="99" s="1"/>
  <c r="C62" i="99"/>
  <c r="C74" i="99" s="1"/>
  <c r="C63" i="99"/>
  <c r="C75" i="99" s="1"/>
  <c r="B63" i="99"/>
  <c r="B75" i="99" s="1"/>
  <c r="E63" i="99"/>
  <c r="E75" i="99" s="1"/>
  <c r="D63" i="99"/>
  <c r="D75" i="99" s="1"/>
  <c r="A63" i="99"/>
  <c r="A75" i="99" s="1"/>
  <c r="E113" i="92"/>
  <c r="F75" i="101"/>
  <c r="B82" i="101" s="1"/>
  <c r="G82" i="101" s="1"/>
  <c r="F74" i="101"/>
  <c r="B81" i="101" s="1"/>
  <c r="F73" i="101"/>
  <c r="B80" i="101" s="1"/>
  <c r="G81" i="101"/>
  <c r="D81" i="101"/>
  <c r="G80" i="101"/>
  <c r="D80" i="101"/>
  <c r="D113" i="92"/>
  <c r="F74" i="99"/>
  <c r="D130" i="94"/>
  <c r="B113" i="92"/>
  <c r="G111" i="92"/>
  <c r="G112" i="92"/>
  <c r="G110" i="92"/>
  <c r="G125" i="89"/>
  <c r="G125" i="52"/>
  <c r="C113" i="92"/>
  <c r="C139" i="92"/>
  <c r="G136" i="92"/>
  <c r="B19" i="53"/>
  <c r="G129" i="89"/>
  <c r="J22" i="54"/>
  <c r="J21" i="54"/>
  <c r="J20" i="54"/>
  <c r="J19" i="54" s="1"/>
  <c r="J14" i="54"/>
  <c r="G129" i="94"/>
  <c r="G129" i="52"/>
  <c r="G127" i="94"/>
  <c r="G127" i="52"/>
  <c r="G127" i="89"/>
  <c r="G139" i="92"/>
  <c r="D157" i="93"/>
  <c r="D158" i="93" s="1"/>
  <c r="E152" i="93"/>
  <c r="E157" i="93" s="1"/>
  <c r="S40" i="86"/>
  <c r="S41" i="86"/>
  <c r="E68" i="53" s="1"/>
  <c r="D72" i="82" s="1"/>
  <c r="I39" i="43"/>
  <c r="J39" i="43" s="1"/>
  <c r="K39" i="43"/>
  <c r="F48" i="47"/>
  <c r="F44" i="47"/>
  <c r="F49" i="47" s="1"/>
  <c r="K44" i="43"/>
  <c r="I44" i="43"/>
  <c r="E83" i="53"/>
  <c r="C59" i="43"/>
  <c r="F92" i="53"/>
  <c r="D130" i="89"/>
  <c r="H119" i="88"/>
  <c r="H124" i="88" s="1"/>
  <c r="D124" i="88"/>
  <c r="C58" i="43"/>
  <c r="K46" i="43"/>
  <c r="E85" i="53"/>
  <c r="I46" i="43"/>
  <c r="J46" i="43" s="1"/>
  <c r="C42" i="83"/>
  <c r="H42" i="83" s="1"/>
  <c r="H15" i="83"/>
  <c r="J38" i="43"/>
  <c r="E77" i="53"/>
  <c r="K38" i="43"/>
  <c r="D130" i="52"/>
  <c r="G53" i="43"/>
  <c r="J35" i="43"/>
  <c r="E74" i="53"/>
  <c r="K36" i="43"/>
  <c r="C21" i="99" l="1"/>
  <c r="C14" i="100" s="1"/>
  <c r="C18" i="99"/>
  <c r="C19" i="99"/>
  <c r="C20" i="99"/>
  <c r="C13" i="100" s="1"/>
  <c r="C32" i="99"/>
  <c r="C33" i="99"/>
  <c r="C31" i="99"/>
  <c r="G83" i="101"/>
  <c r="D82" i="101"/>
  <c r="J5" i="99" s="1"/>
  <c r="F75" i="99"/>
  <c r="G113" i="92"/>
  <c r="G116" i="92" s="1"/>
  <c r="G67" i="93" s="1"/>
  <c r="G130" i="89"/>
  <c r="G130" i="52"/>
  <c r="G130" i="94"/>
  <c r="E161" i="93"/>
  <c r="E164" i="93" s="1"/>
  <c r="F29" i="93" s="1"/>
  <c r="B33" i="93" s="1"/>
  <c r="B35" i="93" s="1"/>
  <c r="F40" i="93" s="1"/>
  <c r="B49" i="93" s="1"/>
  <c r="B52" i="93" s="1"/>
  <c r="D161" i="93"/>
  <c r="K2" i="87"/>
  <c r="A432" i="52"/>
  <c r="T41" i="86"/>
  <c r="A176" i="88"/>
  <c r="D68" i="53"/>
  <c r="D70" i="82" s="1"/>
  <c r="A142" i="88"/>
  <c r="A419" i="52"/>
  <c r="T40" i="86"/>
  <c r="J2" i="87"/>
  <c r="F50" i="47"/>
  <c r="F52" i="47" s="1"/>
  <c r="F53" i="47" s="1"/>
  <c r="I53" i="43"/>
  <c r="F45" i="47"/>
  <c r="J53" i="43"/>
  <c r="J55" i="43" s="1"/>
  <c r="J57" i="43" s="1"/>
  <c r="E92" i="53"/>
  <c r="E97" i="53" s="1"/>
  <c r="K53" i="43"/>
  <c r="C34" i="83"/>
  <c r="C35" i="83" s="1"/>
  <c r="J7" i="99" l="1"/>
  <c r="C10" i="99"/>
  <c r="J12" i="99"/>
  <c r="C45" i="99"/>
  <c r="C44" i="99"/>
  <c r="C43" i="99"/>
  <c r="J9" i="99"/>
  <c r="K9" i="99" s="1"/>
  <c r="C11" i="99"/>
  <c r="J6" i="99"/>
  <c r="K6" i="99" s="1"/>
  <c r="J8" i="99"/>
  <c r="C9" i="99"/>
  <c r="J11" i="99"/>
  <c r="J10" i="99"/>
  <c r="C11" i="100"/>
  <c r="C34" i="99"/>
  <c r="C44" i="53"/>
  <c r="C45" i="53"/>
  <c r="F42" i="53"/>
  <c r="G60" i="93"/>
  <c r="A54" i="93"/>
  <c r="D74" i="93"/>
  <c r="D73" i="93"/>
  <c r="D72" i="93"/>
  <c r="D75" i="93" s="1"/>
  <c r="D34" i="83"/>
  <c r="D35" i="83" s="1"/>
  <c r="E34" i="83"/>
  <c r="E35" i="83" s="1"/>
  <c r="E37" i="83" s="1"/>
  <c r="C46" i="83" s="1"/>
  <c r="D46" i="83" s="1"/>
  <c r="C55" i="83"/>
  <c r="H39" i="47"/>
  <c r="C31" i="53"/>
  <c r="G28" i="35"/>
  <c r="G70" i="43"/>
  <c r="K10" i="99" l="1"/>
  <c r="J13" i="99"/>
  <c r="K8" i="99"/>
  <c r="K7" i="99"/>
  <c r="C46" i="99"/>
  <c r="G48" i="99" s="1"/>
  <c r="B82" i="99" s="1"/>
  <c r="I46" i="99" s="1"/>
  <c r="D42" i="53"/>
  <c r="E42" i="53"/>
  <c r="E256" i="94"/>
  <c r="C42" i="53"/>
  <c r="A262" i="94"/>
  <c r="A261" i="94"/>
  <c r="F46" i="83"/>
  <c r="G46" i="83"/>
  <c r="C56" i="83"/>
  <c r="E46" i="83"/>
  <c r="H40" i="47"/>
  <c r="H51" i="47" s="1"/>
  <c r="H42" i="47"/>
  <c r="H43" i="47" s="1"/>
  <c r="I28" i="35"/>
  <c r="I28" i="2"/>
  <c r="H38" i="2" s="1"/>
  <c r="G82" i="99" l="1"/>
  <c r="D82" i="99"/>
  <c r="F90" i="43" s="1"/>
  <c r="K46" i="99"/>
  <c r="E90" i="99" s="1"/>
  <c r="G90" i="99" s="1"/>
  <c r="D166" i="89" s="1"/>
  <c r="E254" i="94"/>
  <c r="E255" i="94"/>
  <c r="E274" i="94"/>
  <c r="E253" i="94"/>
  <c r="B42" i="53"/>
  <c r="B51" i="53"/>
  <c r="C57" i="83"/>
  <c r="C57" i="53"/>
  <c r="D56" i="83"/>
  <c r="H44" i="47"/>
  <c r="H49" i="47" s="1"/>
  <c r="H48" i="47"/>
  <c r="B70" i="43"/>
  <c r="C209" i="89" l="1"/>
  <c r="G209" i="89"/>
  <c r="G32" i="43"/>
  <c r="I32" i="43" s="1"/>
  <c r="E252" i="94"/>
  <c r="E56" i="83"/>
  <c r="B52" i="53"/>
  <c r="E107" i="80"/>
  <c r="E113" i="84"/>
  <c r="H45" i="47"/>
  <c r="H50" i="47"/>
  <c r="H52" i="47" s="1"/>
  <c r="H53" i="47" s="1"/>
  <c r="C70" i="43"/>
  <c r="F70" i="43"/>
  <c r="E70" i="43"/>
  <c r="D70" i="43"/>
  <c r="H32" i="43" l="1"/>
  <c r="H98" i="95"/>
  <c r="H254" i="94"/>
  <c r="H256" i="94"/>
  <c r="H255" i="94"/>
  <c r="H253" i="94"/>
  <c r="C52" i="53"/>
  <c r="D52" i="53"/>
  <c r="E159" i="80"/>
  <c r="E164" i="84"/>
  <c r="F52" i="53"/>
  <c r="E52" i="53"/>
  <c r="F56" i="83"/>
  <c r="B53" i="53"/>
  <c r="J71" i="43"/>
  <c r="C51" i="53" l="1"/>
  <c r="F51" i="53"/>
  <c r="D51" i="53"/>
  <c r="E51" i="53"/>
  <c r="H252" i="94"/>
  <c r="D59" i="83"/>
  <c r="C58" i="53"/>
  <c r="C59" i="53"/>
  <c r="E53" i="53"/>
  <c r="F53" i="53"/>
  <c r="E165" i="84"/>
  <c r="C53" i="53"/>
  <c r="C54" i="53" s="1"/>
  <c r="D53" i="53"/>
  <c r="E160" i="80"/>
  <c r="B54" i="53"/>
  <c r="B26" i="53"/>
  <c r="G29" i="35"/>
  <c r="J72" i="43"/>
  <c r="K71" i="43" s="1"/>
  <c r="F54" i="53" l="1"/>
  <c r="E54" i="53"/>
  <c r="E120" i="80"/>
  <c r="E109" i="80"/>
  <c r="E115" i="84"/>
  <c r="E126" i="84" s="1"/>
  <c r="D54" i="53"/>
  <c r="E110" i="80"/>
  <c r="E116" i="84"/>
  <c r="E117" i="84"/>
  <c r="E111" i="80"/>
  <c r="E108" i="80"/>
  <c r="E114" i="84"/>
  <c r="E307" i="94"/>
  <c r="H307" i="94" s="1"/>
  <c r="J73" i="43"/>
  <c r="G30" i="35"/>
  <c r="B27" i="53"/>
  <c r="C26" i="53"/>
  <c r="E26" i="53"/>
  <c r="E278" i="89"/>
  <c r="H278" i="89" s="1"/>
  <c r="D26" i="53"/>
  <c r="F26" i="53"/>
  <c r="E250" i="52"/>
  <c r="H250" i="52" s="1"/>
  <c r="I29" i="35"/>
  <c r="I29" i="2"/>
  <c r="E308" i="94" l="1"/>
  <c r="H308" i="94" s="1"/>
  <c r="C32" i="53"/>
  <c r="E251" i="52"/>
  <c r="H251" i="52" s="1"/>
  <c r="F27" i="53"/>
  <c r="C27" i="53"/>
  <c r="E279" i="89"/>
  <c r="H279" i="89" s="1"/>
  <c r="E27" i="53"/>
  <c r="D27" i="53"/>
  <c r="I30" i="35"/>
  <c r="I30" i="2"/>
  <c r="G31" i="35"/>
  <c r="C33" i="53"/>
  <c r="D72" i="43"/>
  <c r="C34" i="53"/>
  <c r="I31" i="35" l="1"/>
  <c r="I31" i="2"/>
  <c r="G36" i="99"/>
  <c r="B81" i="99" l="1"/>
  <c r="D81" i="99" s="1"/>
  <c r="F89" i="43" s="1"/>
  <c r="G81" i="99" l="1"/>
  <c r="C208" i="89"/>
  <c r="G208" i="89"/>
  <c r="E61" i="99" l="1"/>
  <c r="E73" i="99" s="1"/>
  <c r="A61" i="99"/>
  <c r="A73" i="99" s="1"/>
  <c r="B61" i="99" l="1"/>
  <c r="B73" i="99" s="1"/>
  <c r="C61" i="99"/>
  <c r="C73" i="99" s="1"/>
  <c r="D61" i="99"/>
  <c r="D73" i="99" s="1"/>
  <c r="F73" i="99" l="1"/>
  <c r="C12" i="100"/>
  <c r="C15" i="100" s="1"/>
  <c r="C22" i="99"/>
  <c r="G24" i="99"/>
  <c r="G17" i="100" s="1"/>
  <c r="B80" i="99" l="1"/>
  <c r="G80" i="99" l="1"/>
  <c r="G83" i="99" s="1"/>
  <c r="B14" i="43" s="1"/>
  <c r="D80" i="99"/>
  <c r="A41" i="100"/>
  <c r="I22" i="99"/>
  <c r="K22" i="99"/>
  <c r="E89" i="99" s="1"/>
  <c r="G89" i="99" s="1"/>
  <c r="D24" i="100" l="1"/>
  <c r="G41" i="100" s="1"/>
  <c r="D165" i="89" s="1"/>
  <c r="C207" i="89"/>
  <c r="A205" i="89" s="1"/>
  <c r="G207" i="89"/>
  <c r="A22" i="100"/>
  <c r="A39" i="100"/>
  <c r="A24" i="100"/>
  <c r="A35" i="100"/>
  <c r="A36" i="100" s="1"/>
  <c r="A28" i="100"/>
  <c r="F88" i="43"/>
  <c r="A23" i="100"/>
  <c r="C25" i="43"/>
  <c r="A15" i="43"/>
  <c r="B212" i="89" l="1"/>
  <c r="B214" i="89"/>
  <c r="B205" i="89"/>
  <c r="B213" i="89"/>
  <c r="B211" i="89"/>
  <c r="G45" i="100"/>
  <c r="G47" i="100" s="1"/>
  <c r="A47" i="100" s="1"/>
  <c r="G88" i="99"/>
  <c r="G93" i="99" s="1"/>
  <c r="A95" i="99" s="1"/>
  <c r="F55" i="100"/>
  <c r="G31" i="43" s="1"/>
  <c r="G33" i="43" s="1"/>
  <c r="B102" i="53" l="1"/>
  <c r="H31" i="43"/>
  <c r="H55" i="43" s="1"/>
  <c r="F59" i="43" s="1"/>
  <c r="I31" i="43"/>
  <c r="I33" i="43" s="1"/>
  <c r="D27" i="83" l="1"/>
  <c r="I55" i="43"/>
  <c r="G55" i="43"/>
  <c r="G8" i="76" s="1"/>
  <c r="G49" i="76" s="1"/>
  <c r="F33" i="43"/>
  <c r="Q52" i="43" l="1"/>
  <c r="C51" i="83"/>
  <c r="B78" i="43"/>
  <c r="P52" i="43"/>
  <c r="M52" i="43"/>
  <c r="C27" i="83"/>
  <c r="C28" i="83" s="1"/>
  <c r="C31" i="83" s="1"/>
  <c r="C37" i="83" s="1"/>
  <c r="D28" i="83"/>
  <c r="D31" i="83" s="1"/>
  <c r="D37" i="83" s="1"/>
  <c r="K49" i="76" l="1"/>
  <c r="B80" i="43"/>
  <c r="B82" i="43" s="1"/>
  <c r="C52" i="83"/>
  <c r="C53" i="83" s="1"/>
  <c r="C59" i="83" s="1"/>
  <c r="F45" i="83"/>
  <c r="F47" i="83" s="1"/>
  <c r="E45" i="83"/>
  <c r="E47" i="83" s="1"/>
  <c r="G45" i="83"/>
  <c r="G47" i="83" s="1"/>
  <c r="D45" i="83"/>
  <c r="D47" i="83" s="1"/>
  <c r="C45" i="83"/>
  <c r="C47" i="83" s="1"/>
  <c r="B83" i="43" l="1"/>
  <c r="C37" i="53" s="1"/>
  <c r="F69" i="43"/>
  <c r="G33" i="35"/>
  <c r="D69" i="43"/>
  <c r="C82" i="43"/>
  <c r="K51" i="76"/>
  <c r="C69" i="43"/>
  <c r="C36" i="53"/>
  <c r="E69" i="43"/>
  <c r="A195" i="52" l="1"/>
  <c r="A233" i="89"/>
  <c r="A223" i="94"/>
  <c r="D71" i="43"/>
  <c r="D73" i="43" s="1"/>
  <c r="D25" i="53"/>
  <c r="G25" i="35"/>
  <c r="E25" i="53"/>
  <c r="E71" i="43"/>
  <c r="E73" i="43" s="1"/>
  <c r="G26" i="35"/>
  <c r="I33" i="2"/>
  <c r="I33" i="35"/>
  <c r="C71" i="43"/>
  <c r="C73" i="43" s="1"/>
  <c r="G24" i="35"/>
  <c r="C25" i="53"/>
  <c r="F79" i="43"/>
  <c r="B69" i="43"/>
  <c r="G27" i="35"/>
  <c r="F25" i="53"/>
  <c r="F71" i="43"/>
  <c r="F73" i="43" s="1"/>
  <c r="A224" i="94"/>
  <c r="A234" i="89"/>
  <c r="A196" i="52"/>
  <c r="I27" i="2" l="1"/>
  <c r="I27" i="35"/>
  <c r="I25" i="2"/>
  <c r="I25" i="35"/>
  <c r="C29" i="53"/>
  <c r="E225" i="89"/>
  <c r="H225" i="89" s="1"/>
  <c r="E187" i="52"/>
  <c r="H187" i="52" s="1"/>
  <c r="E215" i="94"/>
  <c r="H215" i="94" s="1"/>
  <c r="E190" i="52"/>
  <c r="H190" i="52" s="1"/>
  <c r="E228" i="89"/>
  <c r="H228" i="89" s="1"/>
  <c r="F29" i="53"/>
  <c r="E218" i="94"/>
  <c r="H218" i="94" s="1"/>
  <c r="G69" i="43"/>
  <c r="B25" i="53"/>
  <c r="G71" i="43"/>
  <c r="F78" i="43"/>
  <c r="F80" i="43" s="1"/>
  <c r="G23" i="35"/>
  <c r="B71" i="43"/>
  <c r="B73" i="43" s="1"/>
  <c r="I70" i="43"/>
  <c r="G51" i="76" s="1"/>
  <c r="I26" i="2"/>
  <c r="I26" i="35"/>
  <c r="E188" i="52"/>
  <c r="H188" i="52" s="1"/>
  <c r="E216" i="94"/>
  <c r="H216" i="94" s="1"/>
  <c r="D29" i="53"/>
  <c r="E226" i="89"/>
  <c r="H226" i="89" s="1"/>
  <c r="E209" i="52"/>
  <c r="E238" i="94"/>
  <c r="E248" i="89"/>
  <c r="I24" i="2"/>
  <c r="I24" i="35"/>
  <c r="E29" i="53"/>
  <c r="E227" i="89"/>
  <c r="H227" i="89" s="1"/>
  <c r="E217" i="94"/>
  <c r="H217" i="94" s="1"/>
  <c r="E189" i="52"/>
  <c r="H189" i="52" s="1"/>
  <c r="I23" i="2" l="1"/>
  <c r="H37" i="2" s="1"/>
  <c r="H40" i="2" s="1"/>
  <c r="I23" i="35"/>
  <c r="I19" i="35"/>
  <c r="J74" i="43"/>
  <c r="B29" i="53"/>
  <c r="E224" i="89"/>
  <c r="H224" i="89" s="1"/>
  <c r="E214" i="94"/>
  <c r="H214" i="94" s="1"/>
  <c r="E186" i="52"/>
  <c r="H186" i="52" s="1"/>
  <c r="H42" i="2" l="1"/>
  <c r="H43" i="2"/>
</calcChain>
</file>

<file path=xl/comments1.xml><?xml version="1.0" encoding="utf-8"?>
<comments xmlns="http://schemas.openxmlformats.org/spreadsheetml/2006/main">
  <authors>
    <author>Vehlow, Jutta</author>
    <author>Hoppenkamps, Ralf</author>
  </authors>
  <commentList>
    <comment ref="B90" authorId="0" shapeId="0">
      <text>
        <r>
          <rPr>
            <b/>
            <sz val="12"/>
            <color indexed="10"/>
            <rFont val="Segoe UI"/>
            <family val="2"/>
          </rPr>
          <t xml:space="preserve">Das "Tabellenblatt Überleitung 113c" dient der Ermittlung bzw.   Verständigung über die Personalausstattung für den prospektiven Vergütungszeitraum. </t>
        </r>
      </text>
    </comment>
    <comment ref="F94" authorId="0" shapeId="0">
      <text>
        <r>
          <rPr>
            <b/>
            <sz val="12"/>
            <color indexed="10"/>
            <rFont val="Segoe UI"/>
            <family val="2"/>
          </rPr>
          <t xml:space="preserve">Hinweis
Grundsatz: 
IST-Personal zuzüglich plausibler und finanzierbarer Aufstockungen
Ein Personalaufwuchs sollte mit konkreten Maßnahmen der Personalplanung für den prospektiven Vergütungszeitraum plausibilisiert werden. 
Die Personalmaßnahmen sollen mit dem eigenen Personal umgesetzt werden, nicht mit Leiharbeitnehmern.
</t>
        </r>
      </text>
    </comment>
    <comment ref="G113" authorId="0" shapeId="0">
      <text>
        <r>
          <rPr>
            <b/>
            <sz val="12"/>
            <color indexed="10"/>
            <rFont val="Segoe UI"/>
            <family val="2"/>
          </rPr>
          <t>Die ermittelten Personalmengen der jeweiligen Qualifikationsniveaus sind für den prospektiven Vergütungszeitraum in das Tabellenblatt Ergebnis zu übertragen.</t>
        </r>
      </text>
    </comment>
    <comment ref="F121" authorId="1" shapeId="0">
      <text>
        <r>
          <rPr>
            <b/>
            <sz val="9"/>
            <color indexed="81"/>
            <rFont val="Segoe UI"/>
            <family val="2"/>
          </rPr>
          <t>Vorbelegt mit Mindestpersonalmenge 80%.</t>
        </r>
      </text>
    </comment>
  </commentList>
</comments>
</file>

<file path=xl/comments10.xml><?xml version="1.0" encoding="utf-8"?>
<comments xmlns="http://schemas.openxmlformats.org/spreadsheetml/2006/main">
  <authors>
    <author>Maik Assfalg</author>
  </authors>
  <commentList>
    <comment ref="G6" authorId="0" shapeId="0">
      <text>
        <r>
          <rPr>
            <b/>
            <sz val="8"/>
            <color indexed="81"/>
            <rFont val="Tahoma"/>
            <family val="2"/>
          </rPr>
          <t>Bitte "x" setzen, wenn Auf- oder Abschlagsbeträge vereinbart wurden.</t>
        </r>
        <r>
          <rPr>
            <sz val="8"/>
            <color indexed="81"/>
            <rFont val="Tahoma"/>
            <family val="2"/>
          </rPr>
          <t xml:space="preserve">
</t>
        </r>
      </text>
    </comment>
    <comment ref="I6" authorId="0" shapeId="0">
      <text>
        <r>
          <rPr>
            <b/>
            <sz val="8"/>
            <color indexed="81"/>
            <rFont val="Tahoma"/>
            <family val="2"/>
          </rPr>
          <t>Bitte individuellen Gesamtbetrag für Auf- oder Abschläge eingeben!</t>
        </r>
      </text>
    </comment>
    <comment ref="J9" authorId="0" shapeId="0">
      <text>
        <r>
          <rPr>
            <b/>
            <sz val="10"/>
            <color indexed="81"/>
            <rFont val="Calibri"/>
            <family val="2"/>
          </rPr>
          <t>Bitte geben Sie hier Ihren kalkulierten Tarif ein!</t>
        </r>
        <r>
          <rPr>
            <b/>
            <sz val="8"/>
            <color indexed="81"/>
            <rFont val="Tahoma"/>
            <family val="2"/>
          </rPr>
          <t xml:space="preserve">
</t>
        </r>
        <r>
          <rPr>
            <sz val="8"/>
            <color indexed="81"/>
            <rFont val="Tahoma"/>
            <family val="2"/>
          </rPr>
          <t xml:space="preserve">
</t>
        </r>
      </text>
    </comment>
    <comment ref="G32" authorId="0" shapeId="0">
      <text>
        <r>
          <rPr>
            <b/>
            <sz val="8"/>
            <color indexed="81"/>
            <rFont val="Calibri"/>
            <family val="2"/>
          </rPr>
          <t>Wenn ein prozentualer Anteil vom AG-Brutto Berücksichtigung  findet, bitte Werte angeben!</t>
        </r>
        <r>
          <rPr>
            <sz val="8"/>
            <color indexed="81"/>
            <rFont val="Tahoma"/>
            <family val="2"/>
          </rPr>
          <t xml:space="preserve">
</t>
        </r>
      </text>
    </comment>
  </commentList>
</comments>
</file>

<file path=xl/comments11.xml><?xml version="1.0" encoding="utf-8"?>
<comments xmlns="http://schemas.openxmlformats.org/spreadsheetml/2006/main">
  <authors>
    <author>Vehlow, Jutta</author>
    <author>Andreas Schade</author>
    <author>Moorkamp, Thomas</author>
    <author>Raffel, Holger, u434159</author>
  </authors>
  <commentList>
    <comment ref="F6" authorId="0" shapeId="0">
      <text>
        <r>
          <rPr>
            <b/>
            <sz val="12"/>
            <color indexed="10"/>
            <rFont val="Segoe UI"/>
            <family val="2"/>
          </rPr>
          <t xml:space="preserve">BITTE BEACHTEN !!! 
Grundlage bildet die Belegung laut Gem. Nachweis, Tabellenblatt Belegung (grün hervorgehoben). 
Die Eingabe der prospektiv zu kalkulierenden Struktur erfolgt ausschließlich über das Tabellenblatt copy&amp;paste.
</t>
        </r>
      </text>
    </comment>
    <comment ref="C12" authorId="1" shapeId="0">
      <text>
        <r>
          <rPr>
            <b/>
            <sz val="10"/>
            <color indexed="81"/>
            <rFont val="Calibri"/>
            <family val="2"/>
            <scheme val="minor"/>
          </rPr>
          <t>Eintrittsdatum = E:
Austrittsdatum = A:</t>
        </r>
        <r>
          <rPr>
            <b/>
            <sz val="9"/>
            <color indexed="81"/>
            <rFont val="Segoe UI"/>
            <family val="2"/>
          </rPr>
          <t xml:space="preserve">
</t>
        </r>
        <r>
          <rPr>
            <sz val="9"/>
            <color indexed="81"/>
            <rFont val="Segoe UI"/>
            <family val="2"/>
          </rPr>
          <t xml:space="preserve">
</t>
        </r>
      </text>
    </comment>
    <comment ref="R12" authorId="2" shapeId="0">
      <text>
        <r>
          <rPr>
            <b/>
            <sz val="12"/>
            <color indexed="81"/>
            <rFont val="Segoe UI"/>
            <family val="2"/>
          </rPr>
          <t xml:space="preserve">Sofern Ausbildungskosten geltend gemacht werden, sind unter "Hinweise und Anmerkungen" zusätzliche Angaben  erforderlich, beispielsweise die Angabe des Datums ab wann die betreffende Kraft in berufsbegleitender Ausbildung ist / sein wird einschließlich Angaben zur Dauer/zum Ende der Ausbildung. </t>
        </r>
      </text>
    </comment>
    <comment ref="AE35" authorId="0" shapeId="0">
      <text>
        <r>
          <rPr>
            <b/>
            <sz val="12"/>
            <color indexed="10"/>
            <rFont val="Segoe UI"/>
            <family val="2"/>
          </rPr>
          <t>Übertrag der Anzahl Bewohner für Ergänzungsvereinbarung VV 84 9 =&gt; § 3
In der ErgVV nimmt die Formel Bezug auf diese Zellen, wenn hier ein Wert hinterlegt ist, ansonsten auf das Tabellenblatt Protokoll 
(Bezug auf die ggf. modifizierte Struktur der Pflegesatzverhandlung)</t>
        </r>
        <r>
          <rPr>
            <sz val="9"/>
            <color indexed="81"/>
            <rFont val="Segoe UI"/>
            <family val="2"/>
          </rPr>
          <t xml:space="preserve">
</t>
        </r>
      </text>
    </comment>
    <comment ref="AE37" authorId="0" shapeId="0">
      <text>
        <r>
          <rPr>
            <b/>
            <sz val="12"/>
            <color indexed="10"/>
            <rFont val="Segoe UI"/>
            <family val="2"/>
          </rPr>
          <t>Übertrag der Anzahl Bewohner für Ergänzungsvereinbarung VV 84 9 =&gt; § 3
In der ErgVV nimmt die Formel Bezug auf diese Zellen, wenn hier ein Wert hinterlegt ist, ansonsten auf das Tabellenblatt Protokoll 
(Bezug auf die ggf. modifizierte Struktur der Pflegesatzverhandlung)</t>
        </r>
        <r>
          <rPr>
            <sz val="9"/>
            <color indexed="81"/>
            <rFont val="Segoe UI"/>
            <family val="2"/>
          </rPr>
          <t xml:space="preserve">
</t>
        </r>
      </text>
    </comment>
    <comment ref="AE38" authorId="0" shapeId="0">
      <text>
        <r>
          <rPr>
            <b/>
            <sz val="12"/>
            <color indexed="10"/>
            <rFont val="Segoe UI"/>
            <family val="2"/>
          </rPr>
          <t>Übertrag der Anzahl Bewohner für Ergänzungsvereinbarung VV 84 9 =&gt; § 3
In der ErgVV nimmt die Formel Bezug auf diese Zellen, wenn hier ein Wert hinterlegt ist, ansonsten auf das Tabellenblatt Protokoll 
(Bezug auf die ggf. modifizierte Struktur der Pflegesatzverhandlung)</t>
        </r>
        <r>
          <rPr>
            <sz val="9"/>
            <color indexed="81"/>
            <rFont val="Segoe UI"/>
            <family val="2"/>
          </rPr>
          <t xml:space="preserve">
</t>
        </r>
      </text>
    </comment>
    <comment ref="AE39" authorId="0" shapeId="0">
      <text>
        <r>
          <rPr>
            <b/>
            <sz val="12"/>
            <color indexed="10"/>
            <rFont val="Segoe UI"/>
            <family val="2"/>
          </rPr>
          <t>Übertrag der Anzahl Bewohner für Ergänzungsvereinbarung VV 84 9 =&gt; § 3
In der ErgVV nimmt die Formel Bezug auf diese Zellen, wenn hier ein Wert hinterlegt ist, ansonsten auf das Tabellenblatt Protokoll 
(Bezug auf die ggf. modifizierte Struktur der Pflegesatzverhandlung)</t>
        </r>
        <r>
          <rPr>
            <sz val="9"/>
            <color indexed="81"/>
            <rFont val="Segoe UI"/>
            <family val="2"/>
          </rPr>
          <t xml:space="preserve">
</t>
        </r>
      </text>
    </comment>
    <comment ref="AF40" authorId="3" shapeId="0">
      <text>
        <r>
          <rPr>
            <b/>
            <sz val="12"/>
            <color indexed="10"/>
            <rFont val="Segoe UI"/>
            <family val="2"/>
          </rPr>
          <t>Übernahme in Zelle P6</t>
        </r>
      </text>
    </comment>
  </commentList>
</comments>
</file>

<file path=xl/comments12.xml><?xml version="1.0" encoding="utf-8"?>
<comments xmlns="http://schemas.openxmlformats.org/spreadsheetml/2006/main">
  <authors>
    <author>Vehlow, Jutta</author>
  </authors>
  <commentList>
    <comment ref="D119" authorId="0" shapeId="0">
      <text>
        <r>
          <rPr>
            <b/>
            <sz val="12"/>
            <color indexed="10"/>
            <rFont val="Segoe UI"/>
            <family val="2"/>
          </rPr>
          <t>Wichtiger Hinweis</t>
        </r>
        <r>
          <rPr>
            <sz val="12"/>
            <color indexed="81"/>
            <rFont val="Segoe UI"/>
            <family val="2"/>
          </rPr>
          <t xml:space="preserve">
</t>
        </r>
        <r>
          <rPr>
            <b/>
            <sz val="12"/>
            <color indexed="10"/>
            <rFont val="Segoe UI"/>
            <family val="2"/>
          </rPr>
          <t xml:space="preserve">Türkis = Formel voreingestellt 
</t>
        </r>
        <r>
          <rPr>
            <b/>
            <sz val="12"/>
            <color indexed="10"/>
            <rFont val="Segoe UI"/>
            <family val="2"/>
          </rPr>
          <t>Grundsatz:
In der Ergänzungsvereinbarung muss die den Stellenumfang begründende Belegungsstruktur hinterlegt sein. Die Struktur entspricht in der Regel der für die Kalkulation der Pflegesätze (§ 84 Abs. 1 SGB XI) zugrunde gelegten Struktur.
Besonderheit:
In Fällen, in denen in der Pflegesatzvereinbarung nach § 84 SGB XI 
eine abweichende Belegungsstruktur hinterlegt ist (zum Beispiel die Überleitungsstruktur), wird in dieser Ergänzungsvereinbarung nach 
§ 84 Abs. 9 SGB XI eine realistische, prospektive Belegungsstruktur zugrunde gelegt.</t>
        </r>
        <r>
          <rPr>
            <b/>
            <sz val="9"/>
            <color indexed="10"/>
            <rFont val="Segoe UI"/>
            <family val="2"/>
          </rPr>
          <t xml:space="preserve">
</t>
        </r>
      </text>
    </comment>
    <comment ref="G126" authorId="0" shapeId="0">
      <text>
        <r>
          <rPr>
            <b/>
            <sz val="12"/>
            <color indexed="10"/>
            <rFont val="Segoe UI"/>
            <family val="2"/>
          </rPr>
          <t>= Anzahl der zusätzlichen Pflegehilfskraftstellen laut                    "Tabellenblatt 84 9 Nachweis"
Dieser Wert soll mit dem in Zelle H 124 ausgewiesenen Wert übereinstimmen; er kann auch niedriger sein ! Bitte prüfen !</t>
        </r>
      </text>
    </comment>
  </commentList>
</comments>
</file>

<file path=xl/comments13.xml><?xml version="1.0" encoding="utf-8"?>
<comments xmlns="http://schemas.openxmlformats.org/spreadsheetml/2006/main">
  <authors>
    <author>Martin Schreck (vdek VZ)</author>
  </authors>
  <commentList>
    <comment ref="F1" authorId="0" shapeId="0">
      <text>
        <r>
          <rPr>
            <sz val="9"/>
            <color indexed="81"/>
            <rFont val="Segoe UI"/>
            <family val="2"/>
          </rPr>
          <t xml:space="preserve">    Tarifbereich (mit führenden Nullen)
    01 -&gt; Baden-Württemberg
    02 -&gt; Bayern
    04 -&gt; Bremen
    05 -&gt; Hamburg
    06 -&gt; Hessen
    07 -&gt; Niedersachsen
    08 -&gt; NRW
    09 -&gt; Rheinland-Pfalz
    10 -&gt; Saarland
    11 -&gt; Schleswig-Holstein
    12 -&gt; Brandenburg
    13 -&gt; Sachsen
    14 -&gt; Sachsen-Anhalt
    15 -&gt; Mecklenburg-Vorpommern
    16 -&gt; Thüringen
    23 -&gt; Berlin (gesamt) </t>
        </r>
      </text>
    </comment>
    <comment ref="H1" authorId="0" shapeId="0">
      <text>
        <r>
          <rPr>
            <sz val="9"/>
            <color indexed="81"/>
            <rFont val="Segoe UI"/>
            <family val="2"/>
          </rPr>
          <t xml:space="preserve">Pflegeart (mit führenden Nullen)
01 -&gt; vollstationäre Pflege
02 -&gt; solitäre Kurzzeitpflege
</t>
        </r>
      </text>
    </comment>
    <comment ref="I1" authorId="0" shapeId="0">
      <text>
        <r>
          <rPr>
            <sz val="9"/>
            <color indexed="81"/>
            <rFont val="Segoe UI"/>
            <family val="2"/>
          </rPr>
          <t xml:space="preserve">Angebotart (mit führenden Nullen)
01 -&gt; Standard
02 -&gt; Aids
03 -&gt; Apalliker (Stufe F)
04 -&gt; Beatmungspflichtige
05 -&gt; Chronisch Psychisch Kranke
06 -&gt; Spezielle Demenzbetreuung
07 -&gt; Geistig Behinderte
08 -&gt; Geronto
09 -&gt; Kinder / Jugendliche
10 -&gt; Körperbehinderte
11 -&gt; MS
12 -&gt; Eingestreute Betten
13 -&gt; Kurzzeitpflege als separate Abteilung
14 -&gt; Sonstiges
15 -&gt; Hospiz vollstationär (nicht erlaubt)
16 -&gt; Hospiz teilstationär (nicht erlaubt) </t>
        </r>
      </text>
    </comment>
    <comment ref="J1" authorId="0" shapeId="0">
      <text>
        <r>
          <rPr>
            <b/>
            <sz val="9"/>
            <color indexed="81"/>
            <rFont val="Segoe UI"/>
            <family val="2"/>
          </rPr>
          <t xml:space="preserve">Formular errechnet nur Tageswert. </t>
        </r>
      </text>
    </comment>
    <comment ref="P1" authorId="0" shapeId="0">
      <text>
        <r>
          <rPr>
            <b/>
            <sz val="9"/>
            <color indexed="81"/>
            <rFont val="Segoe UI"/>
            <family val="2"/>
          </rPr>
          <t>In Formular nicht vorgesehen</t>
        </r>
      </text>
    </comment>
    <comment ref="Q1" authorId="0" shapeId="0">
      <text>
        <r>
          <rPr>
            <sz val="9"/>
            <color indexed="81"/>
            <rFont val="Segoe UI"/>
            <family val="2"/>
          </rPr>
          <t>gültig ab (im Format TT.MM.JJJJ) 
 Bei den Datumsangaben ist das Datumsformat TT.MM.JJJJ einzuhalten.</t>
        </r>
      </text>
    </comment>
    <comment ref="R1" authorId="0" shapeId="0">
      <text>
        <r>
          <rPr>
            <sz val="9"/>
            <color indexed="81"/>
            <rFont val="Segoe UI"/>
            <family val="2"/>
          </rPr>
          <t>gültig bis (im Format TT.MM.JJJJ) 
 Bei den Datumsangaben ist das Datumsformat TT.MM.JJJJ einzuhalten.</t>
        </r>
      </text>
    </comment>
  </commentList>
</comments>
</file>

<file path=xl/comments2.xml><?xml version="1.0" encoding="utf-8"?>
<comments xmlns="http://schemas.openxmlformats.org/spreadsheetml/2006/main">
  <authors>
    <author>Wildt, Niklas</author>
    <author>Clemens_Azi</author>
    <author>Moorkamp, Thomas</author>
  </authors>
  <commentList>
    <comment ref="J5" authorId="0" shapeId="0">
      <text>
        <r>
          <rPr>
            <sz val="9"/>
            <color indexed="81"/>
            <rFont val="Segoe UI"/>
            <family val="2"/>
          </rPr>
          <t>aus Überleitungsblatt § 113c SGB XI
(erstmalige Überleitung; dient ausschließlich zur Quotierung FK/HK des sozialen Dienst)</t>
        </r>
      </text>
    </comment>
    <comment ref="C9" authorId="0" shapeId="0">
      <text>
        <r>
          <rPr>
            <sz val="9"/>
            <color indexed="81"/>
            <rFont val="Segoe UI"/>
            <family val="2"/>
          </rPr>
          <t>letzte 92c-Vereinbarung, die zum 30.06.2023 Gültigkeit hatte (z. B. bei Umstellung zum 01.11.2023 sind die Werte aus Vereinbarung bis 31.10.2023 zu verwenden)</t>
        </r>
      </text>
    </comment>
    <comment ref="G18" authorId="0" shapeId="0">
      <text>
        <r>
          <rPr>
            <b/>
            <sz val="9"/>
            <color indexed="81"/>
            <rFont val="Segoe UI"/>
            <family val="2"/>
          </rPr>
          <t>IST 2023</t>
        </r>
        <r>
          <rPr>
            <sz val="9"/>
            <color indexed="81"/>
            <rFont val="Segoe UI"/>
            <family val="2"/>
          </rPr>
          <t xml:space="preserve"> aus Personalkostenblatt</t>
        </r>
      </text>
    </comment>
    <comment ref="G20" authorId="1" shapeId="0">
      <text>
        <r>
          <rPr>
            <b/>
            <sz val="9"/>
            <color indexed="81"/>
            <rFont val="Segoe UI"/>
            <family val="2"/>
          </rPr>
          <t>PPSG</t>
        </r>
        <r>
          <rPr>
            <sz val="9"/>
            <color indexed="81"/>
            <rFont val="Segoe UI"/>
            <family val="2"/>
          </rPr>
          <t xml:space="preserve"> Menge aus dem letzten bewilligten Antrag vor 113c</t>
        </r>
      </text>
    </comment>
    <comment ref="C21" authorId="2" shapeId="0">
      <text>
        <r>
          <rPr>
            <b/>
            <sz val="9"/>
            <color indexed="81"/>
            <rFont val="Segoe UI"/>
            <family val="2"/>
          </rPr>
          <t xml:space="preserve">Eingabe mit negativem Vorzeichen </t>
        </r>
      </text>
    </comment>
    <comment ref="G21" authorId="2" shapeId="0">
      <text>
        <r>
          <rPr>
            <b/>
            <sz val="9"/>
            <color indexed="81"/>
            <rFont val="Segoe UI"/>
            <family val="2"/>
          </rPr>
          <t xml:space="preserve">Eingabe mit negativem Vorzeichen </t>
        </r>
        <r>
          <rPr>
            <sz val="9"/>
            <color indexed="81"/>
            <rFont val="Segoe UI"/>
            <family val="2"/>
          </rPr>
          <t xml:space="preserve">
sofern obiger Wert PDL/QMB enthält (vergleiche Copy &amp; Paste Zelle D83)</t>
        </r>
      </text>
    </comment>
    <comment ref="G31" authorId="0" shapeId="0">
      <text>
        <r>
          <rPr>
            <b/>
            <sz val="9"/>
            <color indexed="81"/>
            <rFont val="Segoe UI"/>
            <family val="2"/>
          </rPr>
          <t>IST 2023</t>
        </r>
        <r>
          <rPr>
            <sz val="9"/>
            <color indexed="81"/>
            <rFont val="Segoe UI"/>
            <family val="2"/>
          </rPr>
          <t xml:space="preserve"> aus Personalkostenblatt </t>
        </r>
      </text>
    </comment>
    <comment ref="G33" authorId="1" shapeId="0">
      <text>
        <r>
          <rPr>
            <b/>
            <sz val="9"/>
            <color indexed="81"/>
            <rFont val="Segoe UI"/>
            <family val="2"/>
          </rPr>
          <t>GPVG:</t>
        </r>
        <r>
          <rPr>
            <sz val="9"/>
            <color indexed="81"/>
            <rFont val="Segoe UI"/>
            <family val="2"/>
          </rPr>
          <t xml:space="preserve"> Menge aus dem letzten bewilligten Antrag vor 113c SGB XI (Splittung QN 3 und QN 1&amp; 2 beachten)</t>
        </r>
      </text>
    </comment>
    <comment ref="G43" authorId="0" shapeId="0">
      <text>
        <r>
          <rPr>
            <b/>
            <sz val="9"/>
            <color indexed="81"/>
            <rFont val="Segoe UI"/>
            <family val="2"/>
          </rPr>
          <t>IST 2023</t>
        </r>
        <r>
          <rPr>
            <sz val="9"/>
            <color indexed="81"/>
            <rFont val="Segoe UI"/>
            <family val="2"/>
          </rPr>
          <t xml:space="preserve"> aus Personalkostenblatt </t>
        </r>
      </text>
    </comment>
    <comment ref="A68" authorId="0" shapeId="0">
      <text>
        <r>
          <rPr>
            <sz val="9"/>
            <color indexed="81"/>
            <rFont val="Segoe UI"/>
            <family val="2"/>
          </rPr>
          <t>Belegung aus VV zum Zeitpunkt der Überleitung Belegungsstruktur, die mit Überleitung 113c  vereinbart wurde.</t>
        </r>
      </text>
    </comment>
    <comment ref="A70" authorId="1" shapeId="0">
      <text>
        <r>
          <rPr>
            <sz val="9"/>
            <color indexed="81"/>
            <rFont val="Segoe UI"/>
            <family val="2"/>
          </rPr>
          <t>Personalmenge lt. Obiger Belegung bei 100% 113c Personalmenge
(wird herangezogen zur Bewertung Bestandsschutz ja/nein)</t>
        </r>
      </text>
    </comment>
  </commentList>
</comments>
</file>

<file path=xl/comments3.xml><?xml version="1.0" encoding="utf-8"?>
<comments xmlns="http://schemas.openxmlformats.org/spreadsheetml/2006/main">
  <authors>
    <author>Wildt, Niklas</author>
    <author>Moorkamp, Thomas</author>
    <author>Clemens_Azi</author>
  </authors>
  <commentList>
    <comment ref="G18" authorId="0" shapeId="0">
      <text>
        <r>
          <rPr>
            <b/>
            <sz val="9"/>
            <color indexed="81"/>
            <rFont val="Segoe UI"/>
            <family val="2"/>
          </rPr>
          <t>HR-Zeitraum</t>
        </r>
        <r>
          <rPr>
            <sz val="9"/>
            <color indexed="81"/>
            <rFont val="Segoe UI"/>
            <family val="2"/>
          </rPr>
          <t xml:space="preserve"> aus Personalkostenblatt</t>
        </r>
      </text>
    </comment>
    <comment ref="C21" authorId="1" shapeId="0">
      <text>
        <r>
          <rPr>
            <b/>
            <sz val="9"/>
            <color indexed="81"/>
            <rFont val="Segoe UI"/>
            <family val="2"/>
          </rPr>
          <t>Eingabe mit negativem Vorzeichen (Gültigkeit) oder über Formeln rechnen?</t>
        </r>
      </text>
    </comment>
    <comment ref="G21" authorId="1" shapeId="0">
      <text>
        <r>
          <rPr>
            <b/>
            <sz val="9"/>
            <color indexed="81"/>
            <rFont val="Segoe UI"/>
            <family val="2"/>
          </rPr>
          <t xml:space="preserve">Eingabe mit negativem Vorzeichen </t>
        </r>
        <r>
          <rPr>
            <sz val="9"/>
            <color indexed="81"/>
            <rFont val="Segoe UI"/>
            <family val="2"/>
          </rPr>
          <t xml:space="preserve">
</t>
        </r>
      </text>
    </comment>
    <comment ref="I22" authorId="2" shapeId="0">
      <text>
        <r>
          <rPr>
            <sz val="9"/>
            <color indexed="81"/>
            <rFont val="Segoe UI"/>
            <family val="2"/>
          </rPr>
          <t>Prüfung, ob Substitution infrage kommt</t>
        </r>
      </text>
    </comment>
    <comment ref="G31" authorId="0" shapeId="0">
      <text>
        <r>
          <rPr>
            <b/>
            <sz val="9"/>
            <color indexed="81"/>
            <rFont val="Segoe UI"/>
            <family val="2"/>
          </rPr>
          <t>HR-Zeitraum</t>
        </r>
        <r>
          <rPr>
            <sz val="9"/>
            <color indexed="81"/>
            <rFont val="Segoe UI"/>
            <family val="2"/>
          </rPr>
          <t xml:space="preserve"> aus Personalkostenblatt</t>
        </r>
      </text>
    </comment>
    <comment ref="G43" authorId="0" shapeId="0">
      <text>
        <r>
          <rPr>
            <b/>
            <sz val="9"/>
            <color indexed="81"/>
            <rFont val="Segoe UI"/>
            <family val="2"/>
          </rPr>
          <t>HR-Zeitraum</t>
        </r>
        <r>
          <rPr>
            <sz val="9"/>
            <color indexed="81"/>
            <rFont val="Segoe UI"/>
            <family val="2"/>
          </rPr>
          <t xml:space="preserve"> aus Personalkostenblatt</t>
        </r>
      </text>
    </comment>
    <comment ref="I46" authorId="2" shapeId="0">
      <text>
        <r>
          <rPr>
            <sz val="9"/>
            <color indexed="81"/>
            <rFont val="Segoe UI"/>
            <family val="2"/>
          </rPr>
          <t>Prüfung, ob Substitution infrage kommt</t>
        </r>
      </text>
    </comment>
    <comment ref="G81" authorId="1" shapeId="0">
      <text>
        <r>
          <rPr>
            <b/>
            <sz val="9"/>
            <color indexed="81"/>
            <rFont val="Segoe UI"/>
            <family val="2"/>
          </rPr>
          <t>ggfs. überschreiben, sofern  Substitution möglich</t>
        </r>
      </text>
    </comment>
  </commentList>
</comments>
</file>

<file path=xl/comments4.xml><?xml version="1.0" encoding="utf-8"?>
<comments xmlns="http://schemas.openxmlformats.org/spreadsheetml/2006/main">
  <authors>
    <author>Moorkamp, Thomas</author>
    <author>Wildt, Niklas</author>
  </authors>
  <commentList>
    <comment ref="C14" authorId="0" shapeId="0">
      <text>
        <r>
          <rPr>
            <b/>
            <sz val="9"/>
            <color indexed="81"/>
            <rFont val="Segoe UI"/>
            <family val="2"/>
          </rPr>
          <t>Eingabe mit negativem Vorzeichen (Gültigkeit) oder über Formeln rechnen?</t>
        </r>
      </text>
    </comment>
    <comment ref="G30" authorId="1" shapeId="0">
      <text>
        <r>
          <rPr>
            <sz val="9"/>
            <color indexed="81"/>
            <rFont val="Segoe UI"/>
            <family val="2"/>
          </rPr>
          <t>zuletzt vereinbarte VK-Menge QN 4, sofern vorgehalten; Abgleich mit HR 2024</t>
        </r>
      </text>
    </comment>
    <comment ref="G31" authorId="0" shapeId="0">
      <text>
        <r>
          <rPr>
            <b/>
            <sz val="9"/>
            <color indexed="81"/>
            <rFont val="Segoe UI"/>
            <family val="2"/>
          </rPr>
          <t>Eingabe mit negativem Vorzeichen</t>
        </r>
      </text>
    </comment>
  </commentList>
</comments>
</file>

<file path=xl/comments5.xml><?xml version="1.0" encoding="utf-8"?>
<comments xmlns="http://schemas.openxmlformats.org/spreadsheetml/2006/main">
  <authors>
    <author>Ein geschätzter Microsoft Office Anwender</author>
  </authors>
  <commentList>
    <comment ref="E2" authorId="0" shapeId="0">
      <text>
        <r>
          <rPr>
            <sz val="8"/>
            <color indexed="81"/>
            <rFont val="Tahoma"/>
            <family val="2"/>
          </rPr>
          <t xml:space="preserve">Nur ändern, wenn nicht ganzjährig in Betrieb! </t>
        </r>
      </text>
    </comment>
    <comment ref="E15" authorId="0" shapeId="0">
      <text>
        <r>
          <rPr>
            <sz val="8"/>
            <color indexed="81"/>
            <rFont val="Tahoma"/>
            <family val="2"/>
          </rPr>
          <t>Nur ändern, wenn nicht ganzjährig in Betrieb! Eingabe des Anfangsda-tums genügt. Der Rest folgt dann automatisch.</t>
        </r>
      </text>
    </comment>
  </commentList>
</comments>
</file>

<file path=xl/comments6.xml><?xml version="1.0" encoding="utf-8"?>
<comments xmlns="http://schemas.openxmlformats.org/spreadsheetml/2006/main">
  <authors>
    <author>Schade, Andreas</author>
  </authors>
  <commentList>
    <comment ref="G80" authorId="0" shapeId="0">
      <text>
        <r>
          <rPr>
            <b/>
            <sz val="9"/>
            <color indexed="81"/>
            <rFont val="Segoe UI"/>
            <family val="2"/>
          </rPr>
          <t>Bitte Wert aus Zelle F76 eingeben!</t>
        </r>
        <r>
          <rPr>
            <sz val="9"/>
            <color indexed="81"/>
            <rFont val="Segoe UI"/>
            <family val="2"/>
          </rPr>
          <t xml:space="preserve">
</t>
        </r>
      </text>
    </comment>
  </commentList>
</comments>
</file>

<file path=xl/comments7.xml><?xml version="1.0" encoding="utf-8"?>
<comments xmlns="http://schemas.openxmlformats.org/spreadsheetml/2006/main">
  <authors>
    <author>Andreas Schade</author>
    <author>Schade, Andreas</author>
  </authors>
  <commentList>
    <comment ref="H19" authorId="0" shapeId="0">
      <text>
        <r>
          <rPr>
            <sz val="8"/>
            <color indexed="81"/>
            <rFont val="Segoe UI"/>
            <family val="2"/>
          </rPr>
          <t>Korrekturbetrag PG 1 aus letzter Verhandlung prüfen und ggf. Formel erweitern.</t>
        </r>
        <r>
          <rPr>
            <sz val="9"/>
            <color indexed="81"/>
            <rFont val="Segoe UI"/>
            <family val="2"/>
          </rPr>
          <t xml:space="preserve">
</t>
        </r>
      </text>
    </comment>
    <comment ref="F24" authorId="0" shapeId="0">
      <text>
        <r>
          <rPr>
            <sz val="8"/>
            <color indexed="81"/>
            <rFont val="Segoe UI"/>
            <family val="2"/>
          </rPr>
          <t>Sofern vorhanden unter Verwendung des Basiswertes UuV aus Zellen B26/H28, ansonsten jeweils Abrechnungssatz UuV!</t>
        </r>
        <r>
          <rPr>
            <sz val="9"/>
            <color indexed="81"/>
            <rFont val="Segoe UI"/>
            <family val="2"/>
          </rPr>
          <t xml:space="preserve">
</t>
        </r>
      </text>
    </comment>
    <comment ref="H36" authorId="1" shapeId="0">
      <text>
        <r>
          <rPr>
            <sz val="8"/>
            <color indexed="81"/>
            <rFont val="Calibri"/>
            <family val="2"/>
            <scheme val="minor"/>
          </rPr>
          <t xml:space="preserve">Im Falle einer pauschalen Erhöhung der Vergütungszuschläge nach  § 43b SGB XI sind die Zellen D33, D41 + D46 im Tabellenblatt "Übersicht + Berechnung" zu füllen! </t>
        </r>
        <r>
          <rPr>
            <sz val="9"/>
            <color indexed="81"/>
            <rFont val="Segoe UI"/>
            <family val="2"/>
          </rPr>
          <t xml:space="preserve">
</t>
        </r>
      </text>
    </comment>
  </commentList>
</comments>
</file>

<file path=xl/comments8.xml><?xml version="1.0" encoding="utf-8"?>
<comments xmlns="http://schemas.openxmlformats.org/spreadsheetml/2006/main">
  <authors>
    <author>Moorkamp, Thomas</author>
  </authors>
  <commentList>
    <comment ref="H113" authorId="0" shapeId="0">
      <text>
        <r>
          <rPr>
            <b/>
            <sz val="9"/>
            <color indexed="81"/>
            <rFont val="Segoe UI"/>
            <family val="2"/>
          </rPr>
          <t>ggfs. anpassen</t>
        </r>
      </text>
    </comment>
  </commentList>
</comments>
</file>

<file path=xl/comments9.xml><?xml version="1.0" encoding="utf-8"?>
<comments xmlns="http://schemas.openxmlformats.org/spreadsheetml/2006/main">
  <authors>
    <author>ba04948</author>
    <author>Andreas Schade</author>
  </authors>
  <commentList>
    <comment ref="C5" authorId="0" shapeId="0">
      <text>
        <r>
          <rPr>
            <b/>
            <sz val="10"/>
            <color indexed="81"/>
            <rFont val="Calibri"/>
            <family val="2"/>
          </rPr>
          <t>Bitte wählen Sie Ihr Tarifwerk aus!</t>
        </r>
        <r>
          <rPr>
            <sz val="8"/>
            <color indexed="81"/>
            <rFont val="Tahoma"/>
            <family val="2"/>
          </rPr>
          <t xml:space="preserve">
</t>
        </r>
      </text>
    </comment>
    <comment ref="F9" authorId="1" shapeId="0">
      <text>
        <r>
          <rPr>
            <b/>
            <sz val="9"/>
            <color indexed="81"/>
            <rFont val="Tahoma"/>
            <family val="2"/>
          </rPr>
          <t xml:space="preserve">Eintrittsdatum = E:
Austrittsdatum = A:
</t>
        </r>
        <r>
          <rPr>
            <sz val="9"/>
            <color indexed="10"/>
            <rFont val="Tahoma"/>
            <family val="2"/>
          </rPr>
          <t>Keine Pflichtfelder!</t>
        </r>
        <r>
          <rPr>
            <sz val="9"/>
            <color indexed="81"/>
            <rFont val="Tahoma"/>
            <family val="2"/>
          </rPr>
          <t xml:space="preserve">
</t>
        </r>
      </text>
    </comment>
  </commentList>
</comments>
</file>

<file path=xl/sharedStrings.xml><?xml version="1.0" encoding="utf-8"?>
<sst xmlns="http://schemas.openxmlformats.org/spreadsheetml/2006/main" count="7326" uniqueCount="2500">
  <si>
    <t>med. - pflegerischer Bedarf</t>
  </si>
  <si>
    <t>Pflegegrad 1</t>
  </si>
  <si>
    <t>Pflegegrad 2</t>
  </si>
  <si>
    <t>Pflegegrad 3</t>
  </si>
  <si>
    <t>Pflegegrad 4</t>
  </si>
  <si>
    <t>Pflegegrad 5</t>
  </si>
  <si>
    <t>- 5 -</t>
  </si>
  <si>
    <t>- 6 -</t>
  </si>
  <si>
    <t>Pflegebedarf</t>
  </si>
  <si>
    <t>Soziale Betreuung</t>
  </si>
  <si>
    <t>Träger</t>
  </si>
  <si>
    <t>Name und Anschrift der Einrichtung</t>
  </si>
  <si>
    <t>Name und Anschrift des Trägers</t>
  </si>
  <si>
    <t>Mitglied im (Verband)</t>
  </si>
  <si>
    <t>Zahl der Normalplätze</t>
  </si>
  <si>
    <t>Institutionskennzeichen</t>
  </si>
  <si>
    <t>Pauschale Fortschreibung?</t>
  </si>
  <si>
    <t xml:space="preserve">I. Vergütungssätze </t>
  </si>
  <si>
    <t>Zurückliegende Zeit:</t>
  </si>
  <si>
    <t>ab:</t>
  </si>
  <si>
    <t>von</t>
  </si>
  <si>
    <t>bis</t>
  </si>
  <si>
    <t>Datum</t>
  </si>
  <si>
    <t>Unterkunft und Verpflegung</t>
  </si>
  <si>
    <t>II. Erlöse</t>
  </si>
  <si>
    <t xml:space="preserve">  (ggf. zu III. Belegung kompatibel)</t>
  </si>
  <si>
    <t>aus Pflegesätzen</t>
  </si>
  <si>
    <t>an Entgelten für Unterkunft/Verpflegung</t>
  </si>
  <si>
    <t>sonstige Erlöse</t>
  </si>
  <si>
    <t xml:space="preserve">Gesamt  </t>
  </si>
  <si>
    <t>III. Belegung</t>
  </si>
  <si>
    <t>Durchschnitts- belegung</t>
  </si>
  <si>
    <t>Summe</t>
  </si>
  <si>
    <t>Auslastungsgrad</t>
  </si>
  <si>
    <t>Abwesenheitsquote</t>
  </si>
  <si>
    <t>(prospektiv kalkuliert)</t>
  </si>
  <si>
    <t>Bereinigte Jahreswerte</t>
  </si>
  <si>
    <t>Veränderung in % zum Vorjahr</t>
  </si>
  <si>
    <t>Kalkulation</t>
  </si>
  <si>
    <t>Leitung der Pflegeeinrichtung</t>
  </si>
  <si>
    <t>Anz. VK</t>
  </si>
  <si>
    <t>Verwaltungsdienst</t>
  </si>
  <si>
    <t>Summe: Leitung der</t>
  </si>
  <si>
    <t>Jahressumme</t>
  </si>
  <si>
    <t>waltungsdienst</t>
  </si>
  <si>
    <t>Durchschnitt</t>
  </si>
  <si>
    <t>Pforte / Telefon</t>
  </si>
  <si>
    <t>Hausmeister (ohne Instandhaltung)</t>
  </si>
  <si>
    <t>Hausmeister</t>
  </si>
  <si>
    <t>(ohne Instandhaltung)</t>
  </si>
  <si>
    <t>Summe: Pflege- und</t>
  </si>
  <si>
    <t>Betreuungsdienst</t>
  </si>
  <si>
    <t>Küche</t>
  </si>
  <si>
    <t>Hauswirtschaft</t>
  </si>
  <si>
    <t>Wäscherei</t>
  </si>
  <si>
    <t>Summe: Hauswirt-</t>
  </si>
  <si>
    <t>schaftlicher Dienst</t>
  </si>
  <si>
    <t>Summe: Personal-</t>
  </si>
  <si>
    <t>kosten</t>
  </si>
  <si>
    <t>V. Sachkosten</t>
  </si>
  <si>
    <t xml:space="preserve">Bereinigter Jahreswert </t>
  </si>
  <si>
    <t>Hochrechnung</t>
  </si>
  <si>
    <t>Veränderung in % zum Vorjahr je BT</t>
  </si>
  <si>
    <t>Lebensmittel</t>
  </si>
  <si>
    <t>davon Speiseversorgung FL/ZD</t>
  </si>
  <si>
    <t>Wasser, Energie, Brennstoffe</t>
  </si>
  <si>
    <t>Wirtschaftsbedarf</t>
  </si>
  <si>
    <t>davon Gebäudereinigung FL/ZD</t>
  </si>
  <si>
    <t>davon Wäschereinigung FL/ZD</t>
  </si>
  <si>
    <t>Aufwendungen Fahrzeuge</t>
  </si>
  <si>
    <t>Aufwand soziale Betreuung</t>
  </si>
  <si>
    <t>davon Umlage FL/ZD</t>
  </si>
  <si>
    <t>Aufwendungen für Verbrauchsgüter</t>
  </si>
  <si>
    <t>Steuern/Versicherungen/ Abgaben</t>
  </si>
  <si>
    <t>Wartung</t>
  </si>
  <si>
    <t>Zusammenfassung</t>
  </si>
  <si>
    <t>Gesamtsumme Personal- und Sachkosten (IV + V)</t>
  </si>
  <si>
    <t>Anteil Personalkosten:</t>
  </si>
  <si>
    <t>Pflegeeinrichtung</t>
  </si>
  <si>
    <t>1.</t>
  </si>
  <si>
    <t>Forderung</t>
  </si>
  <si>
    <t>Gesamt</t>
  </si>
  <si>
    <t>Anzahl Pflegebedürftiger</t>
  </si>
  <si>
    <t>Anzahl Pflegebedürftiger in %</t>
  </si>
  <si>
    <t>Anzahl Personal</t>
  </si>
  <si>
    <t>Personalaufwendungen</t>
  </si>
  <si>
    <t>Leitung/Unternehmerlohn</t>
  </si>
  <si>
    <t>Verwaltung (ohne Pförtner/Telefonisten)</t>
  </si>
  <si>
    <t>Sonstiges Personal</t>
  </si>
  <si>
    <t>Gesamtsumme Personalkosten</t>
  </si>
  <si>
    <t>Gesamtsumme Sachaufwendungen</t>
  </si>
  <si>
    <t>Gesamtsumme aller Kosten</t>
  </si>
  <si>
    <t>von:</t>
  </si>
  <si>
    <t>bis:</t>
  </si>
  <si>
    <t xml:space="preserve">Anzahl Pflegebedürftiger in % </t>
  </si>
  <si>
    <t>Abwesenheit</t>
  </si>
  <si>
    <t>Gewicht</t>
  </si>
  <si>
    <t>Pflege</t>
  </si>
  <si>
    <t>Auslastung</t>
  </si>
  <si>
    <t>Westfalen-Lippe</t>
  </si>
  <si>
    <t>Vereinbarungszeitraum</t>
  </si>
  <si>
    <t>Belegungsstruktur</t>
  </si>
  <si>
    <t>Anzahl BT</t>
  </si>
  <si>
    <t>Zwischen</t>
  </si>
  <si>
    <t>als Träger der Pflegeeinrichtung</t>
  </si>
  <si>
    <t xml:space="preserve">und </t>
  </si>
  <si>
    <t>– 2 –</t>
  </si>
  <si>
    <t>§ 1</t>
  </si>
  <si>
    <t>Vertragsgegenstand</t>
  </si>
  <si>
    <t>§ 2</t>
  </si>
  <si>
    <t>Höhe der Vergütung</t>
  </si>
  <si>
    <t xml:space="preserve"> </t>
  </si>
  <si>
    <t>2.</t>
  </si>
  <si>
    <t>3.</t>
  </si>
  <si>
    <t xml:space="preserve">Sofern öffentliche Zuschüsse zu den laufenden Aufwendungen einer Pflegeeinrichtung </t>
  </si>
  <si>
    <t>§ 3</t>
  </si>
  <si>
    <t>Mitteilungspflichten</t>
  </si>
  <si>
    <t>§ 4</t>
  </si>
  <si>
    <t>Ihre Zeichen:</t>
  </si>
  <si>
    <t>Mit freundlichen Grüßen</t>
  </si>
  <si>
    <t>IKZ</t>
  </si>
  <si>
    <t xml:space="preserve"> je Berech-nungstag in EURO</t>
  </si>
  <si>
    <t xml:space="preserve">EURO </t>
  </si>
  <si>
    <t>EURO</t>
  </si>
  <si>
    <t>AC</t>
  </si>
  <si>
    <t>Aachen</t>
  </si>
  <si>
    <t>BM</t>
  </si>
  <si>
    <t>GL</t>
  </si>
  <si>
    <t>BI</t>
  </si>
  <si>
    <t>Bielefeld</t>
  </si>
  <si>
    <t>BO</t>
  </si>
  <si>
    <t>Bochum</t>
  </si>
  <si>
    <t>BN</t>
  </si>
  <si>
    <t>Bonn</t>
  </si>
  <si>
    <t>BOR</t>
  </si>
  <si>
    <t>Borken</t>
  </si>
  <si>
    <t>BOT</t>
  </si>
  <si>
    <t>Bottrop</t>
  </si>
  <si>
    <t>COE</t>
  </si>
  <si>
    <t>Coesfeld</t>
  </si>
  <si>
    <t>DO</t>
  </si>
  <si>
    <t>Dortmund</t>
  </si>
  <si>
    <t>DU</t>
  </si>
  <si>
    <t>Duisburg</t>
  </si>
  <si>
    <t>DN</t>
  </si>
  <si>
    <t>Düren</t>
  </si>
  <si>
    <t>D</t>
  </si>
  <si>
    <t>Düsseldorf</t>
  </si>
  <si>
    <t>EN</t>
  </si>
  <si>
    <t>Essen</t>
  </si>
  <si>
    <t>EU</t>
  </si>
  <si>
    <t>Euskirchen</t>
  </si>
  <si>
    <t>GE</t>
  </si>
  <si>
    <t>Gelsenkirchen</t>
  </si>
  <si>
    <t>GM</t>
  </si>
  <si>
    <t>Gummersbach</t>
  </si>
  <si>
    <t>GT</t>
  </si>
  <si>
    <t>Gütersloh</t>
  </si>
  <si>
    <t>HA</t>
  </si>
  <si>
    <t>Hagen</t>
  </si>
  <si>
    <t>HAM</t>
  </si>
  <si>
    <t>Hamm</t>
  </si>
  <si>
    <t>HS</t>
  </si>
  <si>
    <t>Heinsberg</t>
  </si>
  <si>
    <t>HF</t>
  </si>
  <si>
    <t>Herford</t>
  </si>
  <si>
    <t>HER</t>
  </si>
  <si>
    <t>Herne</t>
  </si>
  <si>
    <t>HSK</t>
  </si>
  <si>
    <t>HX</t>
  </si>
  <si>
    <t>Höxter</t>
  </si>
  <si>
    <t>KLE</t>
  </si>
  <si>
    <t>Kleve</t>
  </si>
  <si>
    <t>Köln</t>
  </si>
  <si>
    <t>KR</t>
  </si>
  <si>
    <t>Krefeld</t>
  </si>
  <si>
    <t>LIP</t>
  </si>
  <si>
    <t>LEV</t>
  </si>
  <si>
    <t>Leverkusen</t>
  </si>
  <si>
    <t>MK</t>
  </si>
  <si>
    <t>ME</t>
  </si>
  <si>
    <t>Mettmann</t>
  </si>
  <si>
    <t>MI</t>
  </si>
  <si>
    <t>MG</t>
  </si>
  <si>
    <t>Mönchengladbach</t>
  </si>
  <si>
    <t>MH</t>
  </si>
  <si>
    <t>MS</t>
  </si>
  <si>
    <t>Münster</t>
  </si>
  <si>
    <t>NE</t>
  </si>
  <si>
    <t>OB</t>
  </si>
  <si>
    <t>Oberhausen</t>
  </si>
  <si>
    <t>OE</t>
  </si>
  <si>
    <t>Olpe</t>
  </si>
  <si>
    <t>PB</t>
  </si>
  <si>
    <t>Paderborn</t>
  </si>
  <si>
    <t>RE</t>
  </si>
  <si>
    <t>Recklinghausen</t>
  </si>
  <si>
    <t>RS</t>
  </si>
  <si>
    <t>Remscheid</t>
  </si>
  <si>
    <t>SU</t>
  </si>
  <si>
    <t>SI</t>
  </si>
  <si>
    <t>Siegen</t>
  </si>
  <si>
    <t>SO</t>
  </si>
  <si>
    <t>Soest</t>
  </si>
  <si>
    <t>SG</t>
  </si>
  <si>
    <t>Solingen</t>
  </si>
  <si>
    <t>ST</t>
  </si>
  <si>
    <t>Steinfurt</t>
  </si>
  <si>
    <t>UN</t>
  </si>
  <si>
    <t>Unna</t>
  </si>
  <si>
    <t>VIE</t>
  </si>
  <si>
    <t>Viersen</t>
  </si>
  <si>
    <t>WAF</t>
  </si>
  <si>
    <t>Warendorf</t>
  </si>
  <si>
    <t>WES</t>
  </si>
  <si>
    <t>Wesel</t>
  </si>
  <si>
    <t>W</t>
  </si>
  <si>
    <t>Wuppertal</t>
  </si>
  <si>
    <t>Ist</t>
  </si>
  <si>
    <t>Pflegevergütung abzuziehen. Die Pflegeeinrichtung unterrichtet unverzüglich die Kosten-</t>
  </si>
  <si>
    <t>träger über die aktuelle Höhe und etwaige Veränderungen dieser öffentlichen Zuschüsse.</t>
  </si>
  <si>
    <t>pflegebedingter Aufwand</t>
  </si>
  <si>
    <t>Differenz</t>
  </si>
  <si>
    <t>Qualitätssicherung</t>
  </si>
  <si>
    <t>Kosten</t>
  </si>
  <si>
    <t>Kostendeckungsgrad</t>
  </si>
  <si>
    <t>Personalkosten</t>
  </si>
  <si>
    <t>Sachkosten</t>
  </si>
  <si>
    <t>Pro Jahr</t>
  </si>
  <si>
    <t>Je BT</t>
  </si>
  <si>
    <t>Verwaltungsbedarf</t>
  </si>
  <si>
    <t>Qualität</t>
  </si>
  <si>
    <t>sonstiges</t>
  </si>
  <si>
    <t>Summe Sachkosten</t>
  </si>
  <si>
    <t>Gesamtkosten</t>
  </si>
  <si>
    <t>Berechnungstage in %</t>
  </si>
  <si>
    <t>und dem</t>
  </si>
  <si>
    <t>Knappschaft</t>
  </si>
  <si>
    <t>Unterkunft</t>
  </si>
  <si>
    <t>Verpflegung</t>
  </si>
  <si>
    <t>Laufzeit :</t>
  </si>
  <si>
    <t>Platzzahl</t>
  </si>
  <si>
    <t>Netto</t>
  </si>
  <si>
    <t>U &amp; V</t>
  </si>
  <si>
    <t>Aufwand
pro Jahr</t>
  </si>
  <si>
    <t xml:space="preserve">Aufwand       pro BT            </t>
  </si>
  <si>
    <t xml:space="preserve">Aufwand       pro Jahr          </t>
  </si>
  <si>
    <t>VK</t>
  </si>
  <si>
    <t>Küche/Hauswirtschaft/Wäscherei</t>
  </si>
  <si>
    <t>VK FL</t>
  </si>
  <si>
    <t>SK FL</t>
  </si>
  <si>
    <t>Lebensmittel FL/ZD</t>
  </si>
  <si>
    <t>Fahrzeuge</t>
  </si>
  <si>
    <t>Gebäudereinigung FL/ZD</t>
  </si>
  <si>
    <t>Wäschereinigung FL/ZD</t>
  </si>
  <si>
    <t>Medizinisch-pflegerischer Bedarf</t>
  </si>
  <si>
    <t>Verwaltungsbedarf FL/ZD</t>
  </si>
  <si>
    <t>Steuern, Abgaben, Versicherungen</t>
  </si>
  <si>
    <t>Wartung (ohne Instandhaltung)</t>
  </si>
  <si>
    <t>Sonstiges</t>
  </si>
  <si>
    <t xml:space="preserve">Vereinbarte Vergütungssätze </t>
  </si>
  <si>
    <t>Budgetveränderungswert</t>
  </si>
  <si>
    <t>Pflegebedingter Aufwand gesamt</t>
  </si>
  <si>
    <t>Heimentgelt (ohne Investitionskosten)</t>
  </si>
  <si>
    <t>Gewichtung Sachkosten (FL)</t>
  </si>
  <si>
    <t xml:space="preserve">Vereinbarung gemäß §§ 84, 85 und § 87 SGB XI </t>
  </si>
  <si>
    <t>med.-pflegerischer Bedarf</t>
  </si>
  <si>
    <t>Ennepe-Ruhr-Kreis</t>
  </si>
  <si>
    <t>Märkischer Kreis</t>
  </si>
  <si>
    <t>Minden-Lübbecke</t>
  </si>
  <si>
    <t>Rhein-Erft-Kreis</t>
  </si>
  <si>
    <t>Rheinisch-Bergischer Kreis</t>
  </si>
  <si>
    <t>Lippe</t>
  </si>
  <si>
    <t>Nordrhein</t>
  </si>
  <si>
    <t>K</t>
  </si>
  <si>
    <t>vdek</t>
  </si>
  <si>
    <t>BKK</t>
  </si>
  <si>
    <t>IKK</t>
  </si>
  <si>
    <r>
      <t>Verband der Ersatzkassen e. V. (vdek)</t>
    </r>
    <r>
      <rPr>
        <sz val="11"/>
        <rFont val="Arial"/>
        <family val="2"/>
      </rPr>
      <t>,</t>
    </r>
    <r>
      <rPr>
        <b/>
        <sz val="11"/>
        <rFont val="Arial"/>
        <family val="2"/>
      </rPr>
      <t xml:space="preserve"> </t>
    </r>
  </si>
  <si>
    <t>4.</t>
  </si>
  <si>
    <t>über die Leistung, Qualität sowie Vergütung der Leistungen</t>
  </si>
  <si>
    <t>Art, Inhalt und Qualität der Leistungen</t>
  </si>
  <si>
    <t>Art und Inhalt der zu erbringenden Leistungen bestimmen sich nach den Regelungen des</t>
  </si>
  <si>
    <t>jeweils gültigen Rahmenvertrages gemäß § 75 Abs. 1 SGB XI in Verbindung mit den Rege-</t>
  </si>
  <si>
    <t>lungen des Elften Kapitels des SGB XI zur Qualitätssicherung.</t>
  </si>
  <si>
    <t>Der zwischen dem Träger der Pflegeeinrichtung und den Landesverbänden der Pflegekassen</t>
  </si>
  <si>
    <t>im Einvernehmen mit dem überörtlichen Träger der Sozialhilfe geschlossene Versorgungs-</t>
  </si>
  <si>
    <t>bedarfsgerecht, gleichmäßig und dem allgemein anerkannten Stand der medizinisch-</t>
  </si>
  <si>
    <t>-</t>
  </si>
  <si>
    <t>Dekubitusprophylaxe</t>
  </si>
  <si>
    <t>Sturzprophylaxe</t>
  </si>
  <si>
    <t>Dehydratationsprophylaxe</t>
  </si>
  <si>
    <t>Kontrakturprophylaxe</t>
  </si>
  <si>
    <t>Soorprophylaxe</t>
  </si>
  <si>
    <t>Pneumonieprophylaxe</t>
  </si>
  <si>
    <t>Thromboseprophylaxe</t>
  </si>
  <si>
    <t>Intertrigoprophylaxe</t>
  </si>
  <si>
    <t>Obstipationsprophylaxe</t>
  </si>
  <si>
    <t>Harnwegsinfektprophylaxe</t>
  </si>
  <si>
    <t>– 3 –</t>
  </si>
  <si>
    <t>kenntnisse entsprechenden hausinternen Standards.</t>
  </si>
  <si>
    <t>Zusatzleistungen im Sinne des § 88 SGB XI werden</t>
  </si>
  <si>
    <t xml:space="preserve">       entsprechend dem Anzeigeverfahren angeboten.</t>
  </si>
  <si>
    <t xml:space="preserve">       nicht angeboten.</t>
  </si>
  <si>
    <t>Struktur und voraussichtliche Entwicklung</t>
  </si>
  <si>
    <t>des zu betreuenden Personenkreises</t>
  </si>
  <si>
    <t>in Prozent</t>
  </si>
  <si>
    <t>Ergänzungen und Abweichungen des Leistungs- und Qualitätsgeschehens sind nachstehend</t>
  </si>
  <si>
    <t>aufgeführt:</t>
  </si>
  <si>
    <t>Räumliche und sächliche Ausstattung</t>
  </si>
  <si>
    <t>Personelle Ausstattung</t>
  </si>
  <si>
    <t>Darüber hinaus stehen der Einrichtung für unterstützende Leistungen im Jahresdurchschnitt</t>
  </si>
  <si>
    <t>Die Beteiligten dieser Vereinbarung sind sich darüber einig, dass vorübergehende, unwesent-</t>
  </si>
  <si>
    <t>Bei der ausschließlichen, nicht nur vorübergehenden Ernährung über eine PEG-Sonde unter</t>
  </si>
  <si>
    <t>Einschluss der Flüssigkeitsversorgung wird das Entgelt für die Verpflegung um ein Drittel ge-</t>
  </si>
  <si>
    <t>mindert, sofern der Sachkostenaufwand für die Sondenernährung von anderen Kostenträgern</t>
  </si>
  <si>
    <t>übernommen wird.</t>
  </si>
  <si>
    <t>5.</t>
  </si>
  <si>
    <t>§ 7</t>
  </si>
  <si>
    <t>§ 8</t>
  </si>
  <si>
    <t>Die Einrichtung hält eine bedarfsgerechte Ausstattung mit Verbrauchsgütern vor.</t>
  </si>
  <si>
    <t>gemeinsamer Bevollmächtigter mit Abschlussbefugnis:</t>
  </si>
  <si>
    <t>Abschlussarbeiten nach Pflegesatzverhandlungen</t>
  </si>
  <si>
    <t>erledigt ?</t>
  </si>
  <si>
    <t xml:space="preserve">1.)     </t>
  </si>
  <si>
    <t>2.)</t>
  </si>
  <si>
    <t>3.)</t>
  </si>
  <si>
    <r>
      <t>Landesverbände informieren (</t>
    </r>
    <r>
      <rPr>
        <b/>
        <u/>
        <sz val="10"/>
        <rFont val="Arial"/>
        <family val="2"/>
      </rPr>
      <t>Protokoll</t>
    </r>
    <r>
      <rPr>
        <b/>
        <sz val="10"/>
        <rFont val="Arial"/>
        <family val="2"/>
      </rPr>
      <t>blatt)</t>
    </r>
  </si>
  <si>
    <t>4.)</t>
  </si>
  <si>
    <t>5.)</t>
  </si>
  <si>
    <t>6.)</t>
  </si>
  <si>
    <t>Leitblatt für Handakte ausdrucken</t>
  </si>
  <si>
    <t>7.)</t>
  </si>
  <si>
    <t>Protokoll für Handakte schreiben</t>
  </si>
  <si>
    <t>8.)</t>
  </si>
  <si>
    <t>9.)</t>
  </si>
  <si>
    <t>10.)</t>
  </si>
  <si>
    <t xml:space="preserve">11.)     </t>
  </si>
  <si>
    <t>Pflege-Online ergänzen</t>
  </si>
  <si>
    <t>Heimaufsicht ("Protokollblatt") informieren</t>
  </si>
  <si>
    <t>Leitung</t>
  </si>
  <si>
    <t>Verwaltung</t>
  </si>
  <si>
    <t>Pforte</t>
  </si>
  <si>
    <t>K/H/W</t>
  </si>
  <si>
    <t>sonstiges Personal</t>
  </si>
  <si>
    <t>W/E/B</t>
  </si>
  <si>
    <t>S/V/A</t>
  </si>
  <si>
    <t>bevollmächtigt durch die BKK Pflegekassen in Nordrhein-Westfalen</t>
  </si>
  <si>
    <t>zugleich handelnd für den örtlichen Sozialhilfeträger</t>
  </si>
  <si>
    <t>nachrichtlich: Investitionskosten</t>
  </si>
  <si>
    <t>BKK-Landesverband NORDWEST</t>
  </si>
  <si>
    <t>i. A.</t>
  </si>
  <si>
    <t>und</t>
  </si>
  <si>
    <t>den Ersatzkassen</t>
  </si>
  <si>
    <t>Ahaus</t>
  </si>
  <si>
    <t>Arbeitsgemeinschaft der Pflegekassen</t>
  </si>
  <si>
    <t>Alsdorf</t>
  </si>
  <si>
    <t>Baesweiler</t>
  </si>
  <si>
    <t>Eschweiler</t>
  </si>
  <si>
    <t>Herzogenrath</t>
  </si>
  <si>
    <t>Monschau</t>
  </si>
  <si>
    <t>Roetgen</t>
  </si>
  <si>
    <t>Simmerath</t>
  </si>
  <si>
    <t>Würselen</t>
  </si>
  <si>
    <t>Bedburg</t>
  </si>
  <si>
    <t>Bergisch Gladbach</t>
  </si>
  <si>
    <t>Bergheim</t>
  </si>
  <si>
    <t>Brühl</t>
  </si>
  <si>
    <t>Elsdorf</t>
  </si>
  <si>
    <t>Erftstadt</t>
  </si>
  <si>
    <t>Frechen</t>
  </si>
  <si>
    <t>Hürth</t>
  </si>
  <si>
    <t>Kerpen</t>
  </si>
  <si>
    <t>Pulheim</t>
  </si>
  <si>
    <t>Wesseling</t>
  </si>
  <si>
    <t>Burscheid</t>
  </si>
  <si>
    <t>Kürten</t>
  </si>
  <si>
    <t>Odenthal</t>
  </si>
  <si>
    <t>Overath</t>
  </si>
  <si>
    <t>Rösrath</t>
  </si>
  <si>
    <t>Wermelskirchen</t>
  </si>
  <si>
    <t>Ahaus-Alstätte</t>
  </si>
  <si>
    <t>Ahaus-Wessum</t>
  </si>
  <si>
    <t>Bocholt</t>
  </si>
  <si>
    <t>Gescher</t>
  </si>
  <si>
    <t>Gronau</t>
  </si>
  <si>
    <t>Gronau-Epe</t>
  </si>
  <si>
    <t>Heek</t>
  </si>
  <si>
    <t>Heiden</t>
  </si>
  <si>
    <t>Isselburg</t>
  </si>
  <si>
    <t>Isselburg-Anholt</t>
  </si>
  <si>
    <t>Legden</t>
  </si>
  <si>
    <t>Raesfeld</t>
  </si>
  <si>
    <t>Reken</t>
  </si>
  <si>
    <t>Rhede</t>
  </si>
  <si>
    <t>Schöppingen</t>
  </si>
  <si>
    <t>Stadtlohn</t>
  </si>
  <si>
    <t>Südlohn</t>
  </si>
  <si>
    <t>Vreden</t>
  </si>
  <si>
    <t>Ascheberg</t>
  </si>
  <si>
    <t>Ascheberg-Herbern</t>
  </si>
  <si>
    <t>Billerbeck</t>
  </si>
  <si>
    <t>Coesfeld-Lette</t>
  </si>
  <si>
    <t>Dülmen</t>
  </si>
  <si>
    <t>Dülmen-Buldern</t>
  </si>
  <si>
    <t>Dülmen-Hiddingsel</t>
  </si>
  <si>
    <t>Havixbeck</t>
  </si>
  <si>
    <t>Lüdinghausen</t>
  </si>
  <si>
    <t>Nordkirchen</t>
  </si>
  <si>
    <t>Nottuln</t>
  </si>
  <si>
    <t>Olfen</t>
  </si>
  <si>
    <t>Rosendahl</t>
  </si>
  <si>
    <t>Senden</t>
  </si>
  <si>
    <t>Aldenhoven</t>
  </si>
  <si>
    <t>Heimbach</t>
  </si>
  <si>
    <t>Hürtgenwald</t>
  </si>
  <si>
    <t>Inden</t>
  </si>
  <si>
    <t>Jülich</t>
  </si>
  <si>
    <t>Kreuzau</t>
  </si>
  <si>
    <t>Langerwehe</t>
  </si>
  <si>
    <t>Linnich</t>
  </si>
  <si>
    <t>Merzenich</t>
  </si>
  <si>
    <t>Nideggen</t>
  </si>
  <si>
    <t>Niederzier</t>
  </si>
  <si>
    <t>Nörvenich</t>
  </si>
  <si>
    <t>Titz</t>
  </si>
  <si>
    <t>Vettweiß</t>
  </si>
  <si>
    <t>Schwelm</t>
  </si>
  <si>
    <t>Eneppe-Ruhr-Kreis</t>
  </si>
  <si>
    <t>Breckerfeld</t>
  </si>
  <si>
    <t>Ennepetal</t>
  </si>
  <si>
    <t>Gevelsberg</t>
  </si>
  <si>
    <t>Hattingen</t>
  </si>
  <si>
    <t>Herdecke</t>
  </si>
  <si>
    <t>Wetter</t>
  </si>
  <si>
    <t>Witten</t>
  </si>
  <si>
    <t>E</t>
  </si>
  <si>
    <t>Bad Münstereifel</t>
  </si>
  <si>
    <t>Blankenheim</t>
  </si>
  <si>
    <t>Kall</t>
  </si>
  <si>
    <t>Mechernich</t>
  </si>
  <si>
    <t>Schleiden</t>
  </si>
  <si>
    <t>Weilerswist</t>
  </si>
  <si>
    <t>Zülpich</t>
  </si>
  <si>
    <t>Bergneustadt</t>
  </si>
  <si>
    <t>Oberbergischer Kreis</t>
  </si>
  <si>
    <t>Engelskirchen</t>
  </si>
  <si>
    <t>Hückeswagen</t>
  </si>
  <si>
    <t>Lindlar</t>
  </si>
  <si>
    <t>Marienheide</t>
  </si>
  <si>
    <t>Morsbach</t>
  </si>
  <si>
    <t>Nümbrecht</t>
  </si>
  <si>
    <t>Radevormwald</t>
  </si>
  <si>
    <t>Reichshof</t>
  </si>
  <si>
    <t>Waldbröl</t>
  </si>
  <si>
    <t>Wiehl</t>
  </si>
  <si>
    <t>Wipperfürth</t>
  </si>
  <si>
    <t>Borgholzhausen</t>
  </si>
  <si>
    <t>Halle</t>
  </si>
  <si>
    <t>Harsewinkel</t>
  </si>
  <si>
    <t>Herzebrock-Clarholz</t>
  </si>
  <si>
    <t>Langenberg</t>
  </si>
  <si>
    <t>Rheda-Wiedenbrück</t>
  </si>
  <si>
    <t>Rietberg</t>
  </si>
  <si>
    <t>Rietberg-Neuenkirchen</t>
  </si>
  <si>
    <t>Schloß Holte-Stukenbrock</t>
  </si>
  <si>
    <t>Steinhagen</t>
  </si>
  <si>
    <t>Verl</t>
  </si>
  <si>
    <t>Versmold</t>
  </si>
  <si>
    <t>Werther</t>
  </si>
  <si>
    <t>Hagen-Eilpe</t>
  </si>
  <si>
    <t>Erkelenz</t>
  </si>
  <si>
    <t>Gangelt</t>
  </si>
  <si>
    <t>Geilenkirchen</t>
  </si>
  <si>
    <t>Hückelhoven</t>
  </si>
  <si>
    <t>Selfkant</t>
  </si>
  <si>
    <t>Übach-Palenberg</t>
  </si>
  <si>
    <t>Waldfeucht</t>
  </si>
  <si>
    <t>Wassenberg</t>
  </si>
  <si>
    <t>Wegberg</t>
  </si>
  <si>
    <t>Bünde</t>
  </si>
  <si>
    <t>Enger</t>
  </si>
  <si>
    <t>Hiddenhausen</t>
  </si>
  <si>
    <t>Kirchlengern</t>
  </si>
  <si>
    <t>Löhne</t>
  </si>
  <si>
    <t>Rödinghausen</t>
  </si>
  <si>
    <t>Spenge</t>
  </si>
  <si>
    <t>Spenge-Lenzinghausen</t>
  </si>
  <si>
    <t>Vlotho</t>
  </si>
  <si>
    <t>Bad Driburg</t>
  </si>
  <si>
    <t>Beverungen</t>
  </si>
  <si>
    <t>Borgentreich</t>
  </si>
  <si>
    <t>Brakel</t>
  </si>
  <si>
    <t>Brakel-Bökendorf</t>
  </si>
  <si>
    <t>Marienmünster</t>
  </si>
  <si>
    <t>Nieheim</t>
  </si>
  <si>
    <t>Steinheim</t>
  </si>
  <si>
    <t>Willebadessen</t>
  </si>
  <si>
    <t>Arnsberg</t>
  </si>
  <si>
    <t>Bestwig</t>
  </si>
  <si>
    <t>Brilon</t>
  </si>
  <si>
    <t>Brilon-Thülen</t>
  </si>
  <si>
    <t>Eslohe</t>
  </si>
  <si>
    <t>Hallenberg</t>
  </si>
  <si>
    <t>Marsberg</t>
  </si>
  <si>
    <t>Medebach</t>
  </si>
  <si>
    <t>Meschede</t>
  </si>
  <si>
    <t>Olsberg</t>
  </si>
  <si>
    <t>Schmallenberg</t>
  </si>
  <si>
    <t>Sundern</t>
  </si>
  <si>
    <t>Winterberg</t>
  </si>
  <si>
    <t>Emmerich</t>
  </si>
  <si>
    <t>Geldern</t>
  </si>
  <si>
    <t>Goch</t>
  </si>
  <si>
    <t>Issum</t>
  </si>
  <si>
    <t>Kalkar</t>
  </si>
  <si>
    <t>Kerken</t>
  </si>
  <si>
    <t>Kevelaer</t>
  </si>
  <si>
    <t>Kranenburg</t>
  </si>
  <si>
    <t>Rees</t>
  </si>
  <si>
    <t>Straelen</t>
  </si>
  <si>
    <t>Uedem</t>
  </si>
  <si>
    <t>Wachtendonk</t>
  </si>
  <si>
    <t>Weeze</t>
  </si>
  <si>
    <t>Augustdorf</t>
  </si>
  <si>
    <t>Bad Salzuflen</t>
  </si>
  <si>
    <t>Barntrup</t>
  </si>
  <si>
    <t>Blomberg</t>
  </si>
  <si>
    <t>Detmold</t>
  </si>
  <si>
    <t>Dörentrup</t>
  </si>
  <si>
    <t>Extertal</t>
  </si>
  <si>
    <t>Kalletal</t>
  </si>
  <si>
    <t>Kalletal-Lüdenhausen</t>
  </si>
  <si>
    <t>Lage</t>
  </si>
  <si>
    <t>Lemgo</t>
  </si>
  <si>
    <t>Leopoldshöhe</t>
  </si>
  <si>
    <t>Lügde</t>
  </si>
  <si>
    <t>Oerlinghausen</t>
  </si>
  <si>
    <t>Schieder-Schwalenberg</t>
  </si>
  <si>
    <t>Schlangen</t>
  </si>
  <si>
    <t>Altena</t>
  </si>
  <si>
    <t>Balve</t>
  </si>
  <si>
    <t>Halver</t>
  </si>
  <si>
    <t>Hemer</t>
  </si>
  <si>
    <t>Hemer-Sundwig</t>
  </si>
  <si>
    <t>Herscheid</t>
  </si>
  <si>
    <t>Iserlohn</t>
  </si>
  <si>
    <t>Iserlohn-Letmathe</t>
  </si>
  <si>
    <t>Iserlohn-Sümmern</t>
  </si>
  <si>
    <t>Kierspe</t>
  </si>
  <si>
    <t>Lüdenscheid</t>
  </si>
  <si>
    <t>Meinerzhagen</t>
  </si>
  <si>
    <t>Menden</t>
  </si>
  <si>
    <t>Nachrodt</t>
  </si>
  <si>
    <t>Neuenrade</t>
  </si>
  <si>
    <t>Plettenberg</t>
  </si>
  <si>
    <t>Schalksmühle</t>
  </si>
  <si>
    <t>Werdohl</t>
  </si>
  <si>
    <t>Erkrath</t>
  </si>
  <si>
    <t>Haan</t>
  </si>
  <si>
    <t>Heiligenhaus</t>
  </si>
  <si>
    <t>Hilden</t>
  </si>
  <si>
    <t>Monheim</t>
  </si>
  <si>
    <t>Ratingen</t>
  </si>
  <si>
    <t>Velbert</t>
  </si>
  <si>
    <t>Wülfrath</t>
  </si>
  <si>
    <t>Rahden</t>
  </si>
  <si>
    <t>Bad Oeynhausen</t>
  </si>
  <si>
    <t>Espelkamp</t>
  </si>
  <si>
    <t>Hille</t>
  </si>
  <si>
    <t>Hille-Oberlübbe</t>
  </si>
  <si>
    <t>Hüllhorst</t>
  </si>
  <si>
    <t>Lübbecke</t>
  </si>
  <si>
    <t>Minden</t>
  </si>
  <si>
    <t>Petershagen</t>
  </si>
  <si>
    <t>Porta Westfalica</t>
  </si>
  <si>
    <t>Stemwede</t>
  </si>
  <si>
    <t>Mülheim/Ruhr</t>
  </si>
  <si>
    <t>Dormagen</t>
  </si>
  <si>
    <t>Neuss</t>
  </si>
  <si>
    <t>Grevenbroich</t>
  </si>
  <si>
    <t>Jüchen</t>
  </si>
  <si>
    <t>Kaarst</t>
  </si>
  <si>
    <t>Meerbusch</t>
  </si>
  <si>
    <t>Rommerskirchen</t>
  </si>
  <si>
    <t>Attendorn</t>
  </si>
  <si>
    <t>Drolshagen</t>
  </si>
  <si>
    <t>Drolshagen-Iseringhausen</t>
  </si>
  <si>
    <t>Finnentrop</t>
  </si>
  <si>
    <t>Kirchhundem</t>
  </si>
  <si>
    <t>Lennestadt</t>
  </si>
  <si>
    <t>Lennestadt-Bilstein</t>
  </si>
  <si>
    <t>Wenden</t>
  </si>
  <si>
    <t>Wenden-Rothemühle</t>
  </si>
  <si>
    <t>Altenbeken</t>
  </si>
  <si>
    <t>Bad Lippspringe</t>
  </si>
  <si>
    <t>Bad Wünnenberg</t>
  </si>
  <si>
    <t>Bad Wünnenberg-Haaren</t>
  </si>
  <si>
    <t>Borchen</t>
  </si>
  <si>
    <t>Büren</t>
  </si>
  <si>
    <t>Delbrück</t>
  </si>
  <si>
    <t>Hövelhof</t>
  </si>
  <si>
    <t>Lichtenau</t>
  </si>
  <si>
    <t>Salzkotten</t>
  </si>
  <si>
    <t>Castrop-Rauxel</t>
  </si>
  <si>
    <t>Datteln</t>
  </si>
  <si>
    <t>Dorsten</t>
  </si>
  <si>
    <t>Dorsten-Lembeck</t>
  </si>
  <si>
    <t>Dorsten-Rhade</t>
  </si>
  <si>
    <t>Gladbeck</t>
  </si>
  <si>
    <t>Haltern</t>
  </si>
  <si>
    <t>Herten</t>
  </si>
  <si>
    <t>Herten-Westerholt</t>
  </si>
  <si>
    <t>Marl</t>
  </si>
  <si>
    <t>Oer-Erkenschwick</t>
  </si>
  <si>
    <t>Waltrop</t>
  </si>
  <si>
    <t>Alfter</t>
  </si>
  <si>
    <t>Siegburg</t>
  </si>
  <si>
    <t>Bad Honnef</t>
  </si>
  <si>
    <t>Bornheim</t>
  </si>
  <si>
    <t>Eitorf</t>
  </si>
  <si>
    <t>Königswinter</t>
  </si>
  <si>
    <t>Lohmar</t>
  </si>
  <si>
    <t>Meckenheim</t>
  </si>
  <si>
    <t>Much</t>
  </si>
  <si>
    <t>Neunkirchen-Seelscheid</t>
  </si>
  <si>
    <t>Niederkassel</t>
  </si>
  <si>
    <t>Rheinbach</t>
  </si>
  <si>
    <t>Ruppichteroth</t>
  </si>
  <si>
    <t>Sankt Augustin</t>
  </si>
  <si>
    <t>Swisttal</t>
  </si>
  <si>
    <t>Troisdorf</t>
  </si>
  <si>
    <t>Wachtberg</t>
  </si>
  <si>
    <t>Windeck</t>
  </si>
  <si>
    <t>Bad Berleburg</t>
  </si>
  <si>
    <t>Bad Laasphe</t>
  </si>
  <si>
    <t>Burbach</t>
  </si>
  <si>
    <t>Burbach-Lützeln</t>
  </si>
  <si>
    <t>Erndtebrück</t>
  </si>
  <si>
    <t>Freudenberg</t>
  </si>
  <si>
    <t>Freudenbg-Lindenberg</t>
  </si>
  <si>
    <t>Hilchenbach</t>
  </si>
  <si>
    <t>Kreuztal</t>
  </si>
  <si>
    <t>Kreuztal-Krombach</t>
  </si>
  <si>
    <t>Netphen</t>
  </si>
  <si>
    <t>Neunkirchen</t>
  </si>
  <si>
    <t>Wilnsdorf</t>
  </si>
  <si>
    <t>Anröchte</t>
  </si>
  <si>
    <t>Bad Sassendorf</t>
  </si>
  <si>
    <t>Ense-Bremen</t>
  </si>
  <si>
    <t>Erwitte</t>
  </si>
  <si>
    <t>Geseke</t>
  </si>
  <si>
    <t>Lippetal</t>
  </si>
  <si>
    <t>Lippstadt</t>
  </si>
  <si>
    <t>Möhnesee</t>
  </si>
  <si>
    <t>Möhnesee-Delecke</t>
  </si>
  <si>
    <t>Möhnesee-Günne</t>
  </si>
  <si>
    <t>Rüthen</t>
  </si>
  <si>
    <t>Rüthen-Kallenhardt</t>
  </si>
  <si>
    <t>Warstein</t>
  </si>
  <si>
    <t>Warstein-Allagen</t>
  </si>
  <si>
    <t>Warstein-Suttrop</t>
  </si>
  <si>
    <t>Welver</t>
  </si>
  <si>
    <t>Werl</t>
  </si>
  <si>
    <t>Wickede</t>
  </si>
  <si>
    <t>Altenberge</t>
  </si>
  <si>
    <t>Emsdetten</t>
  </si>
  <si>
    <t>Greven</t>
  </si>
  <si>
    <t>Hopsten</t>
  </si>
  <si>
    <t>Hörstel</t>
  </si>
  <si>
    <t>Horstmar</t>
  </si>
  <si>
    <t>Ibbenbüren</t>
  </si>
  <si>
    <t>Ladbergen</t>
  </si>
  <si>
    <t>Lengerich</t>
  </si>
  <si>
    <t>Lienen</t>
  </si>
  <si>
    <t>Lotte</t>
  </si>
  <si>
    <t>Metelen</t>
  </si>
  <si>
    <t>Mettingen</t>
  </si>
  <si>
    <t>Neuenkirchen</t>
  </si>
  <si>
    <t>Nordwalde</t>
  </si>
  <si>
    <t>Ochtrup</t>
  </si>
  <si>
    <t>Recke</t>
  </si>
  <si>
    <t>Rheine</t>
  </si>
  <si>
    <t>Saerbeck</t>
  </si>
  <si>
    <t>Tecklenburg</t>
  </si>
  <si>
    <t>Westerkappeln</t>
  </si>
  <si>
    <t>Wettringen</t>
  </si>
  <si>
    <t>Bergkamen</t>
  </si>
  <si>
    <t>Bönen</t>
  </si>
  <si>
    <t>Fröndenberg</t>
  </si>
  <si>
    <t>Holzwickede</t>
  </si>
  <si>
    <t>Kamen</t>
  </si>
  <si>
    <t>Lünen</t>
  </si>
  <si>
    <t>Schwerte</t>
  </si>
  <si>
    <t>Selm</t>
  </si>
  <si>
    <t>Unna-Massen</t>
  </si>
  <si>
    <t>Werne</t>
  </si>
  <si>
    <t>Brüggen</t>
  </si>
  <si>
    <t>Grefrath</t>
  </si>
  <si>
    <t>Kempen</t>
  </si>
  <si>
    <t>Nettetal</t>
  </si>
  <si>
    <t>Niederkrüchten</t>
  </si>
  <si>
    <t>Schwalmtal</t>
  </si>
  <si>
    <t>Tönisvorst</t>
  </si>
  <si>
    <t>Willich</t>
  </si>
  <si>
    <t>Ahlen</t>
  </si>
  <si>
    <t>Beckum</t>
  </si>
  <si>
    <t>Beelen</t>
  </si>
  <si>
    <t>Drensteinfurt</t>
  </si>
  <si>
    <t>Ennigerloh</t>
  </si>
  <si>
    <t>Everswinkel</t>
  </si>
  <si>
    <t>Oelde</t>
  </si>
  <si>
    <t>Oelde-Stromberg</t>
  </si>
  <si>
    <t>Ostbevern</t>
  </si>
  <si>
    <t>Sassenberg</t>
  </si>
  <si>
    <t>Sendenhorst</t>
  </si>
  <si>
    <t>Sendenhorst-Albersloh</t>
  </si>
  <si>
    <t>Telgte</t>
  </si>
  <si>
    <t>Wadersloh</t>
  </si>
  <si>
    <t>Wadersloh-Liesborn</t>
  </si>
  <si>
    <t>Warendorf-Freckenhorst</t>
  </si>
  <si>
    <t>Alpen</t>
  </si>
  <si>
    <t>Dinslaken</t>
  </si>
  <si>
    <t>Hamminkeln</t>
  </si>
  <si>
    <t>Hünxe</t>
  </si>
  <si>
    <t>Kamp-Lintfort</t>
  </si>
  <si>
    <t>Moers</t>
  </si>
  <si>
    <t>Neukirchen-Vluyn</t>
  </si>
  <si>
    <t>Rheinberg</t>
  </si>
  <si>
    <t>Schermbeck</t>
  </si>
  <si>
    <t>Sonsbeck</t>
  </si>
  <si>
    <t>Xanten</t>
  </si>
  <si>
    <t>AOK NO</t>
  </si>
  <si>
    <t>AOK WL</t>
  </si>
  <si>
    <t>. / .</t>
  </si>
  <si>
    <t>Arbeitsgemeinschaft der Pflegekassen in Nordrhein-Westfalen</t>
  </si>
  <si>
    <t>Korrespondenzanschrift:</t>
  </si>
  <si>
    <t>Mitglieder:</t>
  </si>
  <si>
    <t>Pflegekasse bei der AOK Rheinland/Hamburg</t>
  </si>
  <si>
    <t>Pflegekasse bei der AOK NordWest</t>
  </si>
  <si>
    <t>Verband der Ersatzkassen e. V. (vdek)</t>
  </si>
  <si>
    <t>- einerseits -</t>
  </si>
  <si>
    <t>- andererseits -</t>
  </si>
  <si>
    <t>der Arbeitsgemeinschaft der Pflegekassen in Nordrhein-Westfalen bestehend aus</t>
  </si>
  <si>
    <t>der</t>
  </si>
  <si>
    <t>dem</t>
  </si>
  <si>
    <t>nachfolgend Pflegeeinrichtung genannt</t>
  </si>
  <si>
    <t>Pflegekasse bei der AOK Rheinland/Hamburg - Die Gesundheitskasse</t>
  </si>
  <si>
    <r>
      <t xml:space="preserve">wird folgende </t>
    </r>
    <r>
      <rPr>
        <b/>
        <sz val="11"/>
        <rFont val="Arial"/>
        <family val="2"/>
      </rPr>
      <t>Vereinbarung</t>
    </r>
    <r>
      <rPr>
        <sz val="11"/>
        <rFont val="Arial"/>
        <family val="2"/>
      </rPr>
      <t xml:space="preserve"> geschlossen:</t>
    </r>
  </si>
  <si>
    <t>zurückliegender Zeitraum</t>
  </si>
  <si>
    <t>Vorschlag</t>
  </si>
  <si>
    <t>bitte Eingaben zu jeweiligen Geschäftsjahren bzw. Laufzeiten</t>
  </si>
  <si>
    <t>der Einrichtung</t>
  </si>
  <si>
    <t>bei unterjährigen Vergütungssätzen die Laufzeiten angeben</t>
  </si>
  <si>
    <t>Laufzeit von =</t>
  </si>
  <si>
    <t>Laufzeit bis =</t>
  </si>
  <si>
    <t>Unterkunft &amp; Verpflegung</t>
  </si>
  <si>
    <t>Erlöse aus FiBu                                             oder ggf. zu III. Belegung                  kompatibel angeben</t>
  </si>
  <si>
    <t xml:space="preserve">entweder  </t>
  </si>
  <si>
    <t>oder</t>
  </si>
  <si>
    <t>abgeschlossenes Geschäftsjahr</t>
  </si>
  <si>
    <t>aus Unterkunft/Verpflegung</t>
  </si>
  <si>
    <t>zurückliegender Zeitraum:</t>
  </si>
  <si>
    <t>Geschäftsjahr:</t>
  </si>
  <si>
    <t>Platzzahl für diesen Zeitraum:</t>
  </si>
  <si>
    <t>Anwesenheitstage</t>
  </si>
  <si>
    <t>Belegung</t>
  </si>
  <si>
    <t xml:space="preserve">IV. Personalkosten
</t>
  </si>
  <si>
    <t>prospektiver Zeitraum</t>
  </si>
  <si>
    <t>incl. Personalnebenkosten</t>
  </si>
  <si>
    <t>Anzahl VK</t>
  </si>
  <si>
    <t>in Euro</t>
  </si>
  <si>
    <t>FL = Fremdleistungen
ZD = Zentrale Dienste</t>
  </si>
  <si>
    <t>davon FL/ZD</t>
  </si>
  <si>
    <t>davon  Gebäudereinigung FL/ZD</t>
  </si>
  <si>
    <t>davon  Wäschereinigung FL/ZD</t>
  </si>
  <si>
    <t>Med.-pflegerischer Bedarf</t>
  </si>
  <si>
    <t>Belegungstage Bewohner mit Sondennahrung gem. Empfehlung Grundsatzausschuss</t>
  </si>
  <si>
    <t>Anzahl Bewohner mit Sondennahrung gem. Empfehlung Grundsatzausschuss :</t>
  </si>
  <si>
    <t>Hausmeister (FL)</t>
  </si>
  <si>
    <t>Hausmeister FL/ZD</t>
  </si>
  <si>
    <t>Kalkulations- bzw.</t>
  </si>
  <si>
    <t>davon  Pflegedienst FL/ZD</t>
  </si>
  <si>
    <t>davon Pflegedienst FL/ZD</t>
  </si>
  <si>
    <t>Copy &amp; Paste der Daten aus Excel-Dateien für</t>
  </si>
  <si>
    <t>davon Verwaltungsumlage FL/ZD</t>
  </si>
  <si>
    <t>Steuern/Versicherungen/Abgaben</t>
  </si>
  <si>
    <t>Sozialversicherung für Landwirtschaft, Forsten und Gartenbau</t>
  </si>
  <si>
    <t>- Techniker Krankenkasse Pflegeversicherung</t>
  </si>
  <si>
    <t>- DAK-Gesundheit-PFLEGEKASSE</t>
  </si>
  <si>
    <t>- Pflegekasse bei der KKH</t>
  </si>
  <si>
    <t>- HEK-Pflegekasse</t>
  </si>
  <si>
    <t>- hkk-Pflegekasse</t>
  </si>
  <si>
    <t>als Landwirtschaftliche Pflegekasse</t>
  </si>
  <si>
    <t>Sehr geehrte Damen und Herren,</t>
  </si>
  <si>
    <t>Laufzeit</t>
  </si>
  <si>
    <t>Pflege/Soz. Betr.</t>
  </si>
  <si>
    <t>Gebäuder. FL/ZD</t>
  </si>
  <si>
    <t>Wäscher. FL/ZD</t>
  </si>
  <si>
    <t>Pfleged. FL/ZD</t>
  </si>
  <si>
    <t>Verwaltungsb. (FL)</t>
  </si>
  <si>
    <t>Date</t>
  </si>
  <si>
    <t>worksheet</t>
  </si>
  <si>
    <t>range / cell</t>
  </si>
  <si>
    <t>modification</t>
  </si>
  <si>
    <t>Person</t>
  </si>
  <si>
    <t>Faktor:</t>
  </si>
  <si>
    <t>Velen</t>
  </si>
  <si>
    <t>x</t>
  </si>
  <si>
    <t>Pflege und Betreuung</t>
  </si>
  <si>
    <t>Pflegegrade</t>
  </si>
  <si>
    <t>PG 1</t>
  </si>
  <si>
    <t>PG 2</t>
  </si>
  <si>
    <t>PG 3</t>
  </si>
  <si>
    <t>PG 4</t>
  </si>
  <si>
    <t>PG 5</t>
  </si>
  <si>
    <t>Summe PB</t>
  </si>
  <si>
    <t>Summe BT</t>
  </si>
  <si>
    <t>Summe %</t>
  </si>
  <si>
    <t>Für die Richtigkeit:</t>
  </si>
  <si>
    <t>prospektive Kalkulation für den Vereinbarungszeitraum</t>
  </si>
  <si>
    <t>Leitung der Einrichtung</t>
  </si>
  <si>
    <t>exam. Pflegekräfte</t>
  </si>
  <si>
    <t>Pflegehelfer(innen)</t>
  </si>
  <si>
    <t>Lebensmittel (inkl. Getränke)</t>
  </si>
  <si>
    <t>davon Wäschereingiung FL/ZD</t>
  </si>
  <si>
    <t>Hausmeisterei FL/ZD</t>
  </si>
  <si>
    <t>Verbrauchsgüter</t>
  </si>
  <si>
    <t>in EURO</t>
  </si>
  <si>
    <t>Pflegedienst FL/ZD</t>
  </si>
  <si>
    <t>Veränderung:</t>
  </si>
  <si>
    <t xml:space="preserve">           Faktor</t>
  </si>
  <si>
    <t>Sozialversicherung für Landwirtschaft,</t>
  </si>
  <si>
    <t>Forsten und Gartenbau</t>
  </si>
  <si>
    <t>Institutionskennzeichen:</t>
  </si>
  <si>
    <r>
      <t>Vergütungsregelung (</t>
    </r>
    <r>
      <rPr>
        <b/>
        <u/>
        <sz val="10"/>
        <rFont val="Arial"/>
        <family val="2"/>
      </rPr>
      <t>"VV 85 NRW"</t>
    </r>
    <r>
      <rPr>
        <b/>
        <sz val="10"/>
        <rFont val="Arial"/>
        <family val="2"/>
      </rPr>
      <t>) dreifach ausdrucken</t>
    </r>
  </si>
  <si>
    <t>ZDB ergänzen</t>
  </si>
  <si>
    <t>Tabellenblatt 'Ergebnis' ff. ausdrucken</t>
  </si>
  <si>
    <t>Datei 'Berichtsbogen vdek' füllen</t>
  </si>
  <si>
    <t>AVR Caritas</t>
  </si>
  <si>
    <t>Basisjahre</t>
  </si>
  <si>
    <t>FK-Quote              in %</t>
  </si>
  <si>
    <t>Tarif</t>
  </si>
  <si>
    <t>Ergebnis</t>
  </si>
  <si>
    <t>Küche / Hauswirtschaft / Wäscherei</t>
  </si>
  <si>
    <t>Kalkula-tionsbasis</t>
  </si>
  <si>
    <t>Zielwert-vorgabe FK-Quote in %</t>
  </si>
  <si>
    <t>Ab-weichung</t>
  </si>
  <si>
    <t>Die in Ziffer 1 genannten gesetzlichen und vertraglich beschriebenen Leistungen werden</t>
  </si>
  <si>
    <t>vertrag nebst zugrunde liegendem gemeinsamen Strukturerhebungsbogen sowie dessen An-</t>
  </si>
  <si>
    <t>lagen bilden eine wesentliche Grundlage dieser Vereinbarung.</t>
  </si>
  <si>
    <t>§ 9</t>
  </si>
  <si>
    <t>Grundlage der Leistungserbringung bildet die Leistungsbeschreibung in der jeweils gültigen</t>
  </si>
  <si>
    <t>dieser Vereinbarung.</t>
  </si>
  <si>
    <t>Der vereinbarte Vergütungszuschlag darf nicht abgerechnet werden, soweit die zusätzliche</t>
  </si>
  <si>
    <t>6.</t>
  </si>
  <si>
    <t>Die Pflegeeinrichtung hält auf der Basis eines Stellenschlüssels von 1 : 20 (eine zusätzliche</t>
  </si>
  <si>
    <t>im Jahresdurchschnitt vor.</t>
  </si>
  <si>
    <t>7.</t>
  </si>
  <si>
    <t>Der Vergütungszuschlag ist von der Pflegekasse zu tragen und von den privaten Versicherungs-</t>
  </si>
  <si>
    <t>unternehmen im Rahmen des vereinbarten Versicherungsschutzes zu erstatten. Pflegebe-</t>
  </si>
  <si>
    <t>dürftige dürfen mit den Vergütungszuschlägen weder ganz noch teilweise belastet werden.</t>
  </si>
  <si>
    <t>8.</t>
  </si>
  <si>
    <t>Durch die Vergütung sind alle vertraglichen und/oder gesetzlichen Haupt- und Nebenpflichten</t>
  </si>
  <si>
    <t>abgegolten.</t>
  </si>
  <si>
    <t>Ansprüche auf Leistungen der Beihilfe sind entsprechend zu berücksichtigen.</t>
  </si>
  <si>
    <t>Die Einhaltung der getroffenen Vereinbarungen kann entsprechend den geltenden Gesetzen</t>
  </si>
  <si>
    <t>geprüft werden. § 115 Abs. 3 SGB XI gilt entsprechend. Im Rahmen von Qualitätsprüfungen</t>
  </si>
  <si>
    <t>nach §§ 114 ff. SGB XI wird die Umsetzung des Betreuungskonzeptes und der Leistungsbe-</t>
  </si>
  <si>
    <t>schreibung überprüft.</t>
  </si>
  <si>
    <t>Sollten einzelne vertraglich vereinbarte Leistungen nicht nachweislich erbracht werden, so</t>
  </si>
  <si>
    <t>ist der durch die Pflichtverletzung entstandene Schaden gegenüber der Pflegekasse auszu-</t>
  </si>
  <si>
    <t>gleichen. Über die Schadensregulierung ist zwischen den Vertragspartnern Einvernehmen</t>
  </si>
  <si>
    <t>anzustreben.</t>
  </si>
  <si>
    <t>berechnet werden, verpflichtet sich die Pflegeeinrichtung, die Kostenträger unverzüglich zu</t>
  </si>
  <si>
    <t>unterrichten und über die eventuelle Zustimmung der Landesbehörde zu informieren.</t>
  </si>
  <si>
    <t>Inkrafttreten</t>
  </si>
  <si>
    <t>Regelungen nach § 7 zu den Vergütungszuschlägen für zusätzliche Betreuung und Aktivierung</t>
  </si>
  <si>
    <t>bis zum Inkrafttreten einer neuen Vergütungsvereinbarung weiter (§ 85 Abs. 6 SGB XI).</t>
  </si>
  <si>
    <t>pflegerischen Erkenntnisse entsprechend erbracht. Ein sach- und fachgerechter Umgang</t>
  </si>
  <si>
    <r>
      <t>Pflegekasse bei der AOK N</t>
    </r>
    <r>
      <rPr>
        <sz val="9"/>
        <rFont val="Arial"/>
        <family val="2"/>
      </rPr>
      <t>ORD</t>
    </r>
    <r>
      <rPr>
        <b/>
        <sz val="11"/>
        <rFont val="Arial"/>
        <family val="2"/>
      </rPr>
      <t>W</t>
    </r>
    <r>
      <rPr>
        <sz val="9"/>
        <rFont val="Arial"/>
        <family val="2"/>
      </rPr>
      <t>EST</t>
    </r>
    <r>
      <rPr>
        <b/>
        <sz val="11"/>
        <rFont val="Arial"/>
        <family val="2"/>
      </rPr>
      <t xml:space="preserve"> - Die Gesundheitskasse</t>
    </r>
  </si>
  <si>
    <t>Vollstationäre Pflege</t>
  </si>
  <si>
    <t>Kurzzeitpflege</t>
  </si>
  <si>
    <t>Erklärung der Bewohnervertretung liegt bei:</t>
  </si>
  <si>
    <t>Abwesenheitstage</t>
  </si>
  <si>
    <t>Abwesenheits-tage</t>
  </si>
  <si>
    <t>Anwesenheits-tage</t>
  </si>
  <si>
    <t>Berechnungs-tage</t>
  </si>
  <si>
    <t>Anzahl Bewohner</t>
  </si>
  <si>
    <t>davon Berechnungstage mit eingeschränkter Alltagskompetenz</t>
  </si>
  <si>
    <t>Anzahl Bewohner mit Sondennahrung gem. Empfehlung Grundsatzausschuss =</t>
  </si>
  <si>
    <t>Die Stellungnahme der Bewohnervertretung ist beigefügt:</t>
  </si>
  <si>
    <t>Anmerkungen und Erläuterungen für Personal- und Sachkosten:</t>
  </si>
  <si>
    <t>Ort des Heimträgers</t>
  </si>
  <si>
    <t>PLZ</t>
  </si>
  <si>
    <t>Stempel, Unterschrift des Heimträgers</t>
  </si>
  <si>
    <t>ab</t>
  </si>
  <si>
    <t>Berechnung des Anteils für Unterkunft &amp; Verpflegung und  U &amp; V  bei Sondennahrung</t>
  </si>
  <si>
    <t>Bewohner mit Sondennahrung</t>
  </si>
  <si>
    <t>Berechnungstage ges.</t>
  </si>
  <si>
    <t>Berechnungstage Sondennahrung</t>
  </si>
  <si>
    <t>Berechnungstage mit Beköstigung</t>
  </si>
  <si>
    <t xml:space="preserve">Basiswert UV </t>
  </si>
  <si>
    <t>Gesamterlös gem Basiswert</t>
  </si>
  <si>
    <t>Verrechnungsgröße in %</t>
  </si>
  <si>
    <t>Korrekturbetrag</t>
  </si>
  <si>
    <t>Unterkunft &amp; Verpflegung bei Sondenernährung</t>
  </si>
  <si>
    <t>Differenzbetrag</t>
  </si>
  <si>
    <t>Erlösverprobung / Sondennahrung</t>
  </si>
  <si>
    <t>Erlöse Unterkunft &amp; Verpflegung</t>
  </si>
  <si>
    <t>Erlöse Unterkunft &amp; Verpflegung bei Sondenernährung</t>
  </si>
  <si>
    <t>Gesamterlöse</t>
  </si>
  <si>
    <t>Auswirkung je Berechnungstag</t>
  </si>
  <si>
    <t>Ergebnis 2</t>
  </si>
  <si>
    <t>Neueinrichtung?</t>
  </si>
  <si>
    <t>nein</t>
  </si>
  <si>
    <t>Anhalts- + Richtwerte</t>
  </si>
  <si>
    <t>Einheitlicher Eigenanteil im Monat:</t>
  </si>
  <si>
    <t>Plätze</t>
  </si>
  <si>
    <t>vollstationär</t>
  </si>
  <si>
    <t>In Einbettzimmern</t>
  </si>
  <si>
    <t>In Zweibettzimmern</t>
  </si>
  <si>
    <t>Ja</t>
  </si>
  <si>
    <t>Nein</t>
  </si>
  <si>
    <t>Weitere Daten zur Übernahme in die Vergütungsvereinbarung:</t>
  </si>
  <si>
    <t>zu § 4 Räumliche und Sächliche Austattung</t>
  </si>
  <si>
    <r>
      <t xml:space="preserve">im </t>
    </r>
    <r>
      <rPr>
        <b/>
        <sz val="11"/>
        <rFont val="Arial"/>
        <family val="2"/>
      </rPr>
      <t>Sozialen Dienst</t>
    </r>
    <r>
      <rPr>
        <sz val="11"/>
        <rFont val="Arial"/>
        <family val="2"/>
      </rPr>
      <t xml:space="preserve"> (z. B. Sozialarbeiter/innen, Sozialpädagogen/-innen,</t>
    </r>
  </si>
  <si>
    <t>Therapeuten/-innen).</t>
  </si>
  <si>
    <t>Bei Veränderung der Belegungsstruktur ist die Personalausstattung des Pflegebereiches</t>
  </si>
  <si>
    <t>€</t>
  </si>
  <si>
    <t>entsprechend anzupassen. Im Übrigen gilt § 84 Abs. 6 SGB XI.</t>
  </si>
  <si>
    <t>€.</t>
  </si>
  <si>
    <t>Aufwendungen der medizinischen Behandlungspflege, der Betreuung sowie der zusätzlichen</t>
  </si>
  <si>
    <t xml:space="preserve">Betreuung und Aktivierung und die Vergütung der Unterkunft und Verpflegung nach dem </t>
  </si>
  <si>
    <t>Achten Kapitel des Elften Buches Sozialgesetzbuch sowie die wesentlichen Leistungs- und</t>
  </si>
  <si>
    <t>Qualitätsmerkmale im Sinne des § 84 SGB XI.</t>
  </si>
  <si>
    <t>Zur Verhütung von Folge- und Begleiterkrankungen werden im Rahmen des Pflegeprozesses</t>
  </si>
  <si>
    <t>im Sinne einer ganzheitlichen aktivierenden Pflege insbesondere folgende prophylaktische</t>
  </si>
  <si>
    <t>Maßnahmen bedarfsgerecht berücksichtigt:</t>
  </si>
  <si>
    <t>Anzahl der Bewohner/innen im Durchschnitt</t>
  </si>
  <si>
    <t>Pflegehilfskräfte,</t>
  </si>
  <si>
    <t>Für die stationären Pflegeleistungen einschließlich der medizinischen Behandlungspflege und</t>
  </si>
  <si>
    <t>davon</t>
  </si>
  <si>
    <t>Vergütungszuschläge für zusätzliche Betreuung und Aktivierung nach § 43b SGB XI</t>
  </si>
  <si>
    <t>Pflegebedürftige in stationären Pflegeeinrichtungen haben Anspruch auf zusätzliche Be-</t>
  </si>
  <si>
    <t>treuung und Aktivierung, die über die nach Art und Schwere der Pflegebedürftigkeit not-</t>
  </si>
  <si>
    <t xml:space="preserve">wendigen Versorgung hinausgeht (§ 43b SGB XI). Auf der Basis der §§ 84 Abs. 8 und </t>
  </si>
  <si>
    <t>§ 85 Abs. 8 SGB XI und den "Richtlinien zur Qualifikation und zu den Aufgaben von zu-</t>
  </si>
  <si>
    <t>sätzlichen Betreuungskräften in Pflegeeinrichtungen" (Betreuungskräfte-Rl) in der jeweils</t>
  </si>
  <si>
    <t>Fassung, welche die zusätzliche Betreuung und Aktivierung anspruchsberechtigter Pflege-</t>
  </si>
  <si>
    <t>bedürftiger beschreibt. Die dort beschriebenen Leistungen sind verpflichtender Bestandteil</t>
  </si>
  <si>
    <r>
      <t xml:space="preserve">Voraussetzung für die Zahlung des Vergütungszuschlages ist die tatsächliche, </t>
    </r>
    <r>
      <rPr>
        <i/>
        <sz val="11"/>
        <rFont val="Arial"/>
        <family val="2"/>
      </rPr>
      <t>sozialver-</t>
    </r>
  </si>
  <si>
    <t>schriebene personelle Ausstattung im Betreuungsdienst hinaus.</t>
  </si>
  <si>
    <t>Vollzeitkraft je 20 Pflegebedürftiger) für die zusätzliche Betreuung und Aktivierung</t>
  </si>
  <si>
    <t>Pflegekasse den Zuschlagsbetrag in Höhe von monatlich</t>
  </si>
  <si>
    <t>Die Zahlung erfolgt im Rahmen der laufenden Abrechnung der Leistungen nach § 43 SGB XI</t>
  </si>
  <si>
    <t>ausgeschlossen. Eine Vergütung im ersten Monat der Inanspruchnahme findet nicht statt, im</t>
  </si>
  <si>
    <t>Monat des Auszugs oder des Versterbens des Bewohners wird der volle Betrag nach Satz 1</t>
  </si>
  <si>
    <t>unter Berücksichtigung der Voraussetzungen gemäß § 7 Ziffer 1 bis 6 dieser Vereinbarung</t>
  </si>
  <si>
    <t>gezahlt. Sofern der erste Monat der Inanspruchnahme mit dem Monat des Auszugs oder des</t>
  </si>
  <si>
    <t>Versterbens des Anspruchsberechtigten identisch ist, besteht eine Anspruch auf die Zahlung</t>
  </si>
  <si>
    <t>der Monatspauschale sofern tatsächlich Leistungen nach § 7 erbracht wurden.</t>
  </si>
  <si>
    <t>Bei Leistungen der Kurzzeitpflege (§ 42 SGB XI) oder notwendigen Ersatzpflege (§ 39 SGB XI)</t>
  </si>
  <si>
    <t>Die Zahlung erfolgt im Rahmen der Abrechnung der Leistungen nach § 42 SGB XI. Der</t>
  </si>
  <si>
    <t>dieser Vereinbarung sowohl für den Aufnahme- als auch den Entlasstag abgerechnet werden.</t>
  </si>
  <si>
    <t>Im Monat des unmittelbaren Wechsels von der Kurzzeitpflege in die vollstationäre Pflege ist</t>
  </si>
  <si>
    <t>vertreten durch den Leiter der vdek-Landesvertretung Nordrhein-Westfalen</t>
  </si>
  <si>
    <t>gezahlt wird.</t>
  </si>
  <si>
    <t>hingewiesen werden, dass für ein zusätzliches Betreuungsangebot ein Vergütungszuschlag</t>
  </si>
  <si>
    <t>zahlt die jeweils zuständige Pflegekasse den Zuschlagsbetrag in Höhe von kalendertäglich</t>
  </si>
  <si>
    <t>durch die zuständige Pflegekasse als Monatspauschale; eine Abrechnung nach Tagen ist</t>
  </si>
  <si>
    <t>vereinbartes mtl. Pflegebudget</t>
  </si>
  <si>
    <t>VK inkl. FL</t>
  </si>
  <si>
    <t>Steigerung in % prospektiver Vergütungszeitraum</t>
  </si>
  <si>
    <t>Es gelten die Expertenstandards nach § 113a SGB XI. Bis zu dem Zeitpunkt ihres Inkraft-</t>
  </si>
  <si>
    <t>tretens gelten die dem allgemein anerkannten Stand der medizinisch-pflegerischen Er-</t>
  </si>
  <si>
    <t>Basiswert für Unterkunft + Verpflegung</t>
  </si>
  <si>
    <t>kalendertägliche Zuschlag kann unter Berücksichtigung der Voraussetzungen gemäß § 7</t>
  </si>
  <si>
    <t>Heimentgelt (inkl. Investitionskosten)</t>
  </si>
  <si>
    <t>Basiswert Unterkunft + Verpflegung</t>
  </si>
  <si>
    <t>Sonde</t>
  </si>
  <si>
    <t>Vergütungszeitraum</t>
  </si>
  <si>
    <t>Ermittlung einrichtungseinheitlicher Eigenanteil</t>
  </si>
  <si>
    <t>monatlicher einrichtungseinheitlicher Eigenanteil:</t>
  </si>
  <si>
    <t>nachrichtlich btgl.</t>
  </si>
  <si>
    <t>Gesamtbetrag Leistungspauschalen PV</t>
  </si>
  <si>
    <t>Anteil HBW der Pflegegrade 2 - 5</t>
  </si>
  <si>
    <t>rechnerischer EEE am Tag (nachrichtlich):</t>
  </si>
  <si>
    <r>
      <t xml:space="preserve">Die für den Vereinbarungszeitraum </t>
    </r>
    <r>
      <rPr>
        <sz val="11"/>
        <rFont val="Arial"/>
        <family val="2"/>
      </rPr>
      <t xml:space="preserve">zugrunde gelegte Struktur und voraussichtliche </t>
    </r>
  </si>
  <si>
    <t>Entwicklung stellt sich wie folgt dar:</t>
  </si>
  <si>
    <t>§ 5</t>
  </si>
  <si>
    <t>liche Abweichungen zu der in Ziffer 1. vereinbarten Personalmenge nicht zu vermeiden sind.</t>
  </si>
  <si>
    <t>§ 6</t>
  </si>
  <si>
    <t>- 4 -</t>
  </si>
  <si>
    <t>gültigen Fassung werden die nachfolgenden Vereinbarungsinhalte geschlossen.</t>
  </si>
  <si>
    <r>
      <rPr>
        <i/>
        <sz val="11"/>
        <rFont val="Arial"/>
        <family val="2"/>
      </rPr>
      <t>sicherungspflichtige</t>
    </r>
    <r>
      <rPr>
        <sz val="11"/>
        <rFont val="Arial"/>
        <family val="2"/>
      </rPr>
      <t xml:space="preserve"> Beschäftigung zusätzlicher Betreuungskräfte über die in § 5 festge-</t>
    </r>
  </si>
  <si>
    <t>sätze, die unter § 6 Ziffer 2 geltenden Entgelte für Unterkunft und Verpflegung sowie die</t>
  </si>
  <si>
    <r>
      <rPr>
        <b/>
        <sz val="11"/>
        <rFont val="Arial"/>
        <family val="2"/>
      </rPr>
      <t>Pflegefachkräfte</t>
    </r>
    <r>
      <rPr>
        <sz val="11"/>
        <rFont val="Arial"/>
        <family val="2"/>
      </rPr>
      <t xml:space="preserve"> (Altenpfleger/innen, Gesundheits- und</t>
    </r>
  </si>
  <si>
    <t>gewährt werden (§ 82 Abs. 5 SGB XI), sind diese Betriebskostenzuschüsse von der</t>
  </si>
  <si>
    <t>Sofern den Pflegebedürftigen betriebsnotwendige Investitionskosten (§ 82 Abs. 3 und 4 SGB XI)</t>
  </si>
  <si>
    <t>Die Pflegeeinrichtung hält auf der Basis der in § 3 vereinbarten Struktur im Bereich Pflege- und</t>
  </si>
  <si>
    <t>Erlössituation ohne PG 1</t>
  </si>
  <si>
    <t>p. a.</t>
  </si>
  <si>
    <t>Ermittlung Korrekturbetrag Bewohner PG 1</t>
  </si>
  <si>
    <t>Pforte/Telefon</t>
  </si>
  <si>
    <t>Sonstiges Personal wie z. B. Bundesfreiwilligendienst/Freiw. Soziales Jahr/Praktikanten</t>
  </si>
  <si>
    <t>Summe: Pforte/Telefon/</t>
  </si>
  <si>
    <t>Die besondere räumliche/sächliche Ausstattung der Einrichtung umfasst:</t>
  </si>
  <si>
    <t>Pflegeeinrichtung/Ver-</t>
  </si>
  <si>
    <t>Ort des Spitzen-/Berufsverbandes</t>
  </si>
  <si>
    <t>Stempel, Unterschrift des Spitzen-/Berufsverbandes</t>
  </si>
  <si>
    <t>Pförtner/Telefonisten (falls vorhanden)</t>
  </si>
  <si>
    <t>Krankenpfleger/innen, Gesundheits- und Kinderkrankenpfleger/innen)</t>
  </si>
  <si>
    <t>Schade</t>
  </si>
  <si>
    <t>Warburg</t>
  </si>
  <si>
    <t>berechnungstäglich</t>
  </si>
  <si>
    <t>monatlich</t>
  </si>
  <si>
    <t>Der einrichtungseinheitliche, monatliche Eigenanteil für die Pflegegrade 2 bis 5 beträgt auf der</t>
  </si>
  <si>
    <t>Basis von 30,42 Tagen/Monat durchschnittlich</t>
  </si>
  <si>
    <t>zuzüglich des Ausgleichsbetrages für die Refinanzierung nach der Altenpflegeausbildungsaus-</t>
  </si>
  <si>
    <t>der Aufwendungen für Betreuung beträgt der Pflegesatz für den</t>
  </si>
  <si>
    <t>Das von den Pflegebedürftigen zu tragende Entgelt beträgt für</t>
  </si>
  <si>
    <t>4. Abwesenheitstag) zur Berücksichtigung von Abwesenheitstagen erfolgt nach Tagessätzen</t>
  </si>
  <si>
    <t>in den Entgeltbestandteilen pflegebedingter Aufwand zzgl. Ausbildungsumlage, Unterkunft</t>
  </si>
  <si>
    <t>ausschließlich der kalendertägliche Zuschlagsbetrag für die Kurzzeitpflege abrechenbar. Für</t>
  </si>
  <si>
    <t>und Verpflegung nach der Rahmenvereinbarung in NRW. Der jeweilige Monatsbetrag reduziert</t>
  </si>
  <si>
    <t>sich dementsprechend.</t>
  </si>
  <si>
    <t>Die Berechnung des Abschlags nach § 87a Abs. 1 Satz 7 SGB XI (Abzug von 25% ab dem</t>
  </si>
  <si>
    <t>Erlössituation PG 1 - 5</t>
  </si>
  <si>
    <t>P a u s c h a l e   E r h ö h u n g</t>
  </si>
  <si>
    <t>vom</t>
  </si>
  <si>
    <t>Eingabefeld</t>
  </si>
  <si>
    <t>Variante 2</t>
  </si>
  <si>
    <t>zuletzt vereinbartes monatliches Pflegebudget (PG 2 - PG 5)</t>
  </si>
  <si>
    <t>neu vereinbartes monatliches Pflegebudget (PG 2 - PG 5)</t>
  </si>
  <si>
    <t>Einrichtungseinheitlicher Eigenanteil im Monat (alt)</t>
  </si>
  <si>
    <t>Einrichtungseinheitlicher Eigenanteil im Monat (neu)</t>
  </si>
  <si>
    <t>Einrichtungeinheitlicher Eigenanteil am Tag (neu)</t>
  </si>
  <si>
    <t>Steigerung EEE [Vergleich unkorrigierter EEE (alt) und EEE (neu)]</t>
  </si>
  <si>
    <t>Budgetveränderungsrate</t>
  </si>
  <si>
    <t>vereinbarte BT</t>
  </si>
  <si>
    <t>Pflegesätze</t>
  </si>
  <si>
    <t>Pflegesätze ab</t>
  </si>
  <si>
    <t>∑ Berechnungstage</t>
  </si>
  <si>
    <t>Neubudget:</t>
  </si>
  <si>
    <t>Personal in VK</t>
  </si>
  <si>
    <t>Personalart</t>
  </si>
  <si>
    <t>pro BT</t>
  </si>
  <si>
    <t>Gesamtbetrag</t>
  </si>
  <si>
    <t>mtl. Anteil Pflege</t>
  </si>
  <si>
    <t>mtl. Anteil UuV</t>
  </si>
  <si>
    <t>Basiswert UV</t>
  </si>
  <si>
    <t>Gesamterlös aus Basiswert</t>
  </si>
  <si>
    <t>Betreuungskräfte</t>
  </si>
  <si>
    <t>Zuschlagsbetrag</t>
  </si>
  <si>
    <t>Zuschlagsbetrag KzP</t>
  </si>
  <si>
    <t>Träger:</t>
  </si>
  <si>
    <t>Ergebnis!C3</t>
  </si>
  <si>
    <t>IK</t>
  </si>
  <si>
    <t>Ort</t>
  </si>
  <si>
    <t>Kreis</t>
  </si>
  <si>
    <t>Kosten Verwaltungsdienst je BT</t>
  </si>
  <si>
    <t>Kosten Wirtschaftsdienst je BT</t>
  </si>
  <si>
    <t>Moorkamp</t>
  </si>
  <si>
    <t>Pflegekennziffer</t>
  </si>
  <si>
    <t>Veränderungsrate:</t>
  </si>
  <si>
    <t>VD letzte Vereinbarung</t>
  </si>
  <si>
    <t>WD letzte Vereinbarung</t>
  </si>
  <si>
    <t>- BARMER - Pflegekasse</t>
  </si>
  <si>
    <t>Tagessatz letztes Ergebnis (Kostenbudget / BT)</t>
  </si>
  <si>
    <t>Pflegeart</t>
  </si>
  <si>
    <t>Datenbankwerte erfassen</t>
  </si>
  <si>
    <t>WL</t>
  </si>
  <si>
    <t>Bitte Landesteil auswählen!</t>
  </si>
  <si>
    <t>Toleranzgrenze Minderpersonal</t>
  </si>
  <si>
    <t>Name der Einrichtung:</t>
  </si>
  <si>
    <t>= Eingabefelder</t>
  </si>
  <si>
    <t>Straße der Einrichtung:</t>
  </si>
  <si>
    <t>PLZ, Ort der Einrichtung:</t>
  </si>
  <si>
    <t>Name des Trägers:</t>
  </si>
  <si>
    <t>Straße des Trägers:</t>
  </si>
  <si>
    <t>PLZ, Ort des Trägers:</t>
  </si>
  <si>
    <t>Trägerverband:</t>
  </si>
  <si>
    <t>Platzzahl laut Versorgungsvertrag</t>
  </si>
  <si>
    <t>Anzahl/Antrag</t>
  </si>
  <si>
    <t>Anzahl eingestreuter Kurzzeitpflegeplätze</t>
  </si>
  <si>
    <t>Vergütung für solitäre KzP oder separate Abteilung KzP?</t>
  </si>
  <si>
    <t>Kalkuliertes Personal in VK</t>
  </si>
  <si>
    <t>Differenz Ist-Soll</t>
  </si>
  <si>
    <t>Forderung prospektiver Vergütungszeitraum</t>
  </si>
  <si>
    <t>Arbeitgeberbrutto (Budget)</t>
  </si>
  <si>
    <t>Vst. Pflege</t>
  </si>
  <si>
    <t>Fort- und Weiterbildungskosten</t>
  </si>
  <si>
    <t>Sonstige Personalaufwendungen</t>
  </si>
  <si>
    <t>KZP</t>
  </si>
  <si>
    <t>Summe Forderung</t>
  </si>
  <si>
    <t>Vereinbarte Werte für den prospektiven Vergütungszeitraum</t>
  </si>
  <si>
    <t>vorzuhaltendes Personal</t>
  </si>
  <si>
    <t>vereinbarte Summe</t>
  </si>
  <si>
    <t>Berechnung der Vergütungszuschläge</t>
  </si>
  <si>
    <t>Nachrichtliche Zusammenfassung:</t>
  </si>
  <si>
    <t>Prospektiver Vergütungszeitraum:</t>
  </si>
  <si>
    <t>gefordert</t>
  </si>
  <si>
    <t>vereinbart</t>
  </si>
  <si>
    <t>prospektiver Aufwand (Budget) gesamt</t>
  </si>
  <si>
    <t>prospektiv vorzuhaltende VK</t>
  </si>
  <si>
    <t>AG-Brutto je VK (ohne Fort-/Weiterbildung)</t>
  </si>
  <si>
    <t>AG-Brutto je VK (mit Fort-/Weiterbildung)</t>
  </si>
  <si>
    <t>Nachweiszeitraum:</t>
  </si>
  <si>
    <t>Tarifvertrag:</t>
  </si>
  <si>
    <t>abgerechnete Monate:</t>
  </si>
  <si>
    <t>Schlüssel:</t>
  </si>
  <si>
    <t>abrechenbare Monate:</t>
  </si>
  <si>
    <t>eingesetztes Personal in VK:</t>
  </si>
  <si>
    <t>einzusetzendes Personal in VK:</t>
  </si>
  <si>
    <t>IST-WERTE im o. g. Nachweiszeitraum</t>
  </si>
  <si>
    <t>prospektiv kalkulierte Werte im o.g. Vergütungszeitraum</t>
  </si>
  <si>
    <t>Qualifikation</t>
  </si>
  <si>
    <t>ggf. tarifliche Einstufung</t>
  </si>
  <si>
    <t>Eintritts-/ Austrittsdatum</t>
  </si>
  <si>
    <t>VK (Ist)</t>
  </si>
  <si>
    <r>
      <t xml:space="preserve">AG brutto  </t>
    </r>
    <r>
      <rPr>
        <b/>
        <vertAlign val="superscript"/>
        <sz val="10"/>
        <rFont val="Calibri"/>
        <family val="2"/>
      </rPr>
      <t>1)</t>
    </r>
  </si>
  <si>
    <t>AG brutto je VK</t>
  </si>
  <si>
    <t>Fort- /Weiterbildung (p. a.)</t>
  </si>
  <si>
    <t>VK (prosp.)</t>
  </si>
  <si>
    <r>
      <t xml:space="preserve">AG brutto (prosp)    </t>
    </r>
    <r>
      <rPr>
        <b/>
        <vertAlign val="superscript"/>
        <sz val="10"/>
        <rFont val="Calibri"/>
        <family val="2"/>
      </rPr>
      <t>1)</t>
    </r>
  </si>
  <si>
    <t>Fort-/ Weiterbildung (p. a.)</t>
  </si>
  <si>
    <t>↕   AG-brutto in %</t>
  </si>
  <si>
    <t>zu Sp 5</t>
  </si>
  <si>
    <t>Sp 6 / Sp 5</t>
  </si>
  <si>
    <t>Sp 6 + Sp 8</t>
  </si>
  <si>
    <t>Sp 12 / Sp 11</t>
  </si>
  <si>
    <t>Sp 12 + Sp 14</t>
  </si>
  <si>
    <t>SUMME PERSONALAUFWAND und</t>
  </si>
  <si>
    <t>Durchschnittswerte je VK</t>
  </si>
  <si>
    <t>zu Zeile …</t>
  </si>
  <si>
    <t>HINWEISE zu PERSONALKOSTEN / ANMERKUNGEN</t>
  </si>
  <si>
    <t>SUMME Sonstige Personalaufwendungen</t>
  </si>
  <si>
    <t>GESAMTSUMME (prospektiv)</t>
  </si>
  <si>
    <t xml:space="preserve">Arbeitnehmerbrutto, Jahressonderzahlungen, Zuschläge für Sonn- und Feierabendarbeit, </t>
  </si>
  <si>
    <t xml:space="preserve">AG-Anteil zu den Sozialversicherungsbeiträgen, Umlagen U1 + U2, </t>
  </si>
  <si>
    <t>Insolvenzgeldumlage, Berufsgenossenschaft, AG-Anteil Betriebliche Altersvorsorge,</t>
  </si>
  <si>
    <t>vermögenswirksame Leistungen, arbeitsmedizinische Untersuchungen.</t>
  </si>
  <si>
    <t>(Ort und Datum)</t>
  </si>
  <si>
    <t>(Stempel und Unterschrift des Trägers)</t>
  </si>
  <si>
    <t>Forderungszeitraum:</t>
  </si>
  <si>
    <t>Angebotszeitraum vom:</t>
  </si>
  <si>
    <t>= Eingabefeld</t>
  </si>
  <si>
    <t>Angebot</t>
  </si>
  <si>
    <t>einzus. Personal in VK:</t>
  </si>
  <si>
    <r>
      <t>↕</t>
    </r>
    <r>
      <rPr>
        <b/>
        <sz val="10"/>
        <rFont val="Calibri"/>
        <family val="2"/>
      </rPr>
      <t xml:space="preserve">   AG-brutto in %</t>
    </r>
  </si>
  <si>
    <t>zu Sp 11</t>
  </si>
  <si>
    <t xml:space="preserve"> Laufzeit:</t>
  </si>
  <si>
    <t>1. Im Falle eines Zu- oder Abschlages (Verrechnung) unbedingt in Zelle G 6 ein x setzen.</t>
  </si>
  <si>
    <t>2. Individuell errechnete Zu- oder Abschlagssummen (Verrechnungsbeträge) in Zelle I 6 eintragen.</t>
  </si>
  <si>
    <t xml:space="preserve">    Programm ermittelt dann selbständig den monatlichen / berechnungstäglichen Zuschlag oder Abzug.</t>
  </si>
  <si>
    <t>↕ AG-brutto in %</t>
  </si>
  <si>
    <t>zu Sp. 9</t>
  </si>
  <si>
    <t>Sp 10 / Sp 9</t>
  </si>
  <si>
    <t>Sp 10 + Sp 12</t>
  </si>
  <si>
    <t>Sp6 / Sp11</t>
  </si>
  <si>
    <t>Nebenkalkulation</t>
  </si>
  <si>
    <t>AG br./VK kalk.</t>
  </si>
  <si>
    <t>Ermittlung eines individuellen Abzugsbetrages wegen Personalunterschreitung</t>
  </si>
  <si>
    <t>Schlüssel</t>
  </si>
  <si>
    <t>Kalenderjahr</t>
  </si>
  <si>
    <t>Unterschreitung</t>
  </si>
  <si>
    <t>ø Personalkosten</t>
  </si>
  <si>
    <t>in VK</t>
  </si>
  <si>
    <t>=</t>
  </si>
  <si>
    <t>z. B.</t>
  </si>
  <si>
    <t>GrAus vom 21.10.2008 - TOP 3.1</t>
  </si>
  <si>
    <t>100€ bis 30.06.2010</t>
  </si>
  <si>
    <t>GrAus vom 23.03.2010 - TOP 2.2</t>
  </si>
  <si>
    <t>103,50€ bis 30.06.2012</t>
  </si>
  <si>
    <t>GrAus vom 14.03.2012 - TOP 3.2</t>
  </si>
  <si>
    <t>109€ bis 30.06.14</t>
  </si>
  <si>
    <t>GrAus vom 19.10.2012 - TOP 2</t>
  </si>
  <si>
    <t>113,50€ ab 01.01.13 wegen Schlüsselveränderung</t>
  </si>
  <si>
    <t>GrAus vom 27.03.2014 - TOP 4</t>
  </si>
  <si>
    <t>117€ vom 01.07.14 bis 31.03.2015</t>
  </si>
  <si>
    <t>GrAus vom 20.11.2014 - TOP 3</t>
  </si>
  <si>
    <t>Individualverhandlungen mit Laufzeit ab 01.04.2015</t>
  </si>
  <si>
    <t>zu übertragende Summe in Zelle I 6</t>
  </si>
  <si>
    <t>x     in Zelle G 6 nicht vergessen !</t>
  </si>
  <si>
    <t>% v. AG Br.</t>
  </si>
  <si>
    <t>Arbeitnehmerbrutto, Jahressonderzahlungen, Zuschläge für Sonn- und Feierabendarbeit, AG-Anteil zu den Sozialversicherungsbeiträgen, Umlagen U1 + U2, Insolvenzgeldumlage, Berufsgenossenschaft, AG-Anteil Betriebliche Altersvorsorge,vermögenswirksame Leistungen, arbeitsmedizinische Untersuchungen.</t>
  </si>
  <si>
    <t>Vergütungszuschläge - Forderung</t>
  </si>
  <si>
    <t>Fachkraftquote Ergebnis bei Pauschale:</t>
  </si>
  <si>
    <t>Pflegekennziffer Ergebnis bei Pauschale:</t>
  </si>
  <si>
    <t>Überleitungsstruktur</t>
  </si>
  <si>
    <t>Plausibilität "Ergebnis!F76"</t>
  </si>
  <si>
    <t>= berechnetes Feld</t>
  </si>
  <si>
    <t>= Formel ist hinterlegt, kann aber überschrieben werden!</t>
  </si>
  <si>
    <t>KNAPPSCHAFT</t>
  </si>
  <si>
    <t>hier:</t>
  </si>
  <si>
    <t>Vertragskennzeichen (AC / TK)</t>
  </si>
  <si>
    <t>I. Gesamtbudget prospektiver Vereinbarungszeitraum</t>
  </si>
  <si>
    <t>pro Monat</t>
  </si>
  <si>
    <t>pro Jahr</t>
  </si>
  <si>
    <t>b) Pflegebudget Überleitung ("Alt 0")</t>
  </si>
  <si>
    <t>a) Pflegebudget Überleitung (PG 2 - 5)</t>
  </si>
  <si>
    <t>Plausibilität Ergebnis!F76</t>
  </si>
  <si>
    <t># Kontakt</t>
  </si>
  <si>
    <t>Ansprechpartner:</t>
  </si>
  <si>
    <t>Anlagen</t>
  </si>
  <si>
    <t>Pflegesatz</t>
  </si>
  <si>
    <t xml:space="preserve">  </t>
  </si>
  <si>
    <t>nachrichtlich: verbl. LM-Anteil</t>
  </si>
  <si>
    <t>nachrichtlich: verbl. WB-Anteil</t>
  </si>
  <si>
    <t>nachrichtlich: verbl. Pflegebedarf</t>
  </si>
  <si>
    <t>Für Fragen stehen wir Ihnen gerne zur Verfügung.</t>
  </si>
  <si>
    <t>AC / TK Kennzeichen</t>
  </si>
  <si>
    <t>GPOS
 § 43b SGB XI
 Kurzzeitpflege</t>
  </si>
  <si>
    <t>Pflegegrad</t>
  </si>
  <si>
    <t>GPOS Kurzzeitpflege</t>
  </si>
  <si>
    <t>berechnungs-täglich</t>
  </si>
  <si>
    <t>GPOS Kurzzeitpflege: 04 04 0 00</t>
  </si>
  <si>
    <t>Anlage 1 zum Gemeinsamen Nachweis gemäß § 85 Abs. 3 SGB XI für stationäre Pflegeeinrichtungen in NRW</t>
  </si>
  <si>
    <t>EEE:</t>
  </si>
  <si>
    <t>- 2 -</t>
  </si>
  <si>
    <t>Altbudget:</t>
  </si>
  <si>
    <t>Relative Abweichung gegenüber letzter Vereinbarung</t>
  </si>
  <si>
    <t>- 7 -</t>
  </si>
  <si>
    <t>Vereinbarungs-zeitraum</t>
  </si>
  <si>
    <t>Stolberg</t>
  </si>
  <si>
    <t>Leichlingen</t>
  </si>
  <si>
    <t>Langenfeld</t>
  </si>
  <si>
    <t>Hennef</t>
  </si>
  <si>
    <t>Voerde</t>
  </si>
  <si>
    <t>Horn-Bad Meinberg</t>
  </si>
  <si>
    <t>Lennestadt-Altenhundem</t>
  </si>
  <si>
    <t>Mülheim a. d. Ruhr</t>
  </si>
  <si>
    <t>Paderborn-Neuenbeken</t>
  </si>
  <si>
    <t>Preußisch Oldendorf</t>
  </si>
  <si>
    <t>Wickede-Wimbern</t>
  </si>
  <si>
    <t>nachr.: verbl. Verwaltungsbedarf</t>
  </si>
  <si>
    <t>ø PK Fremd-leistungen</t>
  </si>
  <si>
    <t>Dresden</t>
  </si>
  <si>
    <t>Überleitung mit dem Kalkulationsschema</t>
  </si>
  <si>
    <t>Überleitung mit dem Meldebogen</t>
  </si>
  <si>
    <t>Berechnungstage bei Überleitung</t>
  </si>
  <si>
    <t>Veränderungsrate</t>
  </si>
  <si>
    <t>= zwingende Eingabe bei pauschaler Fortschreibung</t>
  </si>
  <si>
    <t>Zusatzleistungen  ( x )</t>
  </si>
  <si>
    <t>c) Budget U &amp; V Überleitung</t>
  </si>
  <si>
    <t>Basiswert U &amp; V zum 01.01.17</t>
  </si>
  <si>
    <t>Veränderungswerte EEE / Pflegekennziffer</t>
  </si>
  <si>
    <t>Leistungspauschalen PV:</t>
  </si>
  <si>
    <t xml:space="preserve">mtl. Pflegebudget Überltg: </t>
  </si>
  <si>
    <t>Veränderungsrate EEE</t>
  </si>
  <si>
    <t>Strukturkomponente</t>
  </si>
  <si>
    <t>Strukturkomponente EEE</t>
  </si>
  <si>
    <t>Stormanns</t>
  </si>
  <si>
    <t>Vehlow</t>
  </si>
  <si>
    <t>den anschließenden Zeitraum für Leistungen der vollstationären Pflege gilt Ziffer 7.</t>
  </si>
  <si>
    <t>= Keine Pflichtfelder</t>
  </si>
  <si>
    <t>Sonstige Kosten</t>
  </si>
  <si>
    <t>GPOS KzP</t>
  </si>
  <si>
    <t>PKZ Überleitung</t>
  </si>
  <si>
    <t>in Einbettzimmern</t>
  </si>
  <si>
    <t>in Zweibettzimmern</t>
  </si>
  <si>
    <t>AC / TK</t>
  </si>
  <si>
    <t>= Formel ist hinterlegt, kann aber überschrieben werden (vgl. Kommentar zu Tabellenblatt "Pauschal!H36)</t>
  </si>
  <si>
    <t>II. a) Gesamtbudget bei Überleitung</t>
  </si>
  <si>
    <t xml:space="preserve">II. b) Gesamtbudget bei letzter Verhandlung </t>
  </si>
  <si>
    <t>Vergütungsverhandlung</t>
  </si>
  <si>
    <t>pauschale Fortschreibung</t>
  </si>
  <si>
    <t>a) Pflegebudget PG 2 - 5</t>
  </si>
  <si>
    <t>c) Budget U &amp; V</t>
  </si>
  <si>
    <t xml:space="preserve">Basiswert U &amp; V </t>
  </si>
  <si>
    <t>Berechnungstage</t>
  </si>
  <si>
    <t xml:space="preserve">PKZ Überleitung </t>
  </si>
  <si>
    <t xml:space="preserve">PKZ Kalkulation </t>
  </si>
  <si>
    <t>I. Strukturangaben</t>
  </si>
  <si>
    <t>Abgrenzung Kurzzeitpflege</t>
  </si>
  <si>
    <t>Anzahl Belegungstage</t>
  </si>
  <si>
    <t>Faktor</t>
  </si>
  <si>
    <t>Anteile in %</t>
  </si>
  <si>
    <t>II. Budgetangaben</t>
  </si>
  <si>
    <t>II.1 Personalkosten</t>
  </si>
  <si>
    <t>davon Pflege</t>
  </si>
  <si>
    <t>davon Unterkunft &amp; Verpflegung</t>
  </si>
  <si>
    <t>skaliert auf Plätze Kurzzeitpflege</t>
  </si>
  <si>
    <t>zzgl. Personalaufschlag Kurzzeitpflege</t>
  </si>
  <si>
    <t>weitere Aufschläge</t>
  </si>
  <si>
    <t>II.2 Sachkosten</t>
  </si>
  <si>
    <t>Sachkostenbudget vollstationär</t>
  </si>
  <si>
    <t>skaliert auf Kurzzeitpflege</t>
  </si>
  <si>
    <t>Gesamtbudget Kurzzeitpflege</t>
  </si>
  <si>
    <t>III. Ermittlung der Pflegesätze</t>
  </si>
  <si>
    <t>Anzahl Berechnungstage</t>
  </si>
  <si>
    <t>IV. Vergleich mit Pflegesätzen vollstationär</t>
  </si>
  <si>
    <t>Durchschnittspflegesatz vollstationär</t>
  </si>
  <si>
    <t>Durchschnittspflegesatz Kurzzeitpflege</t>
  </si>
  <si>
    <t>Unterkunft &amp; Verpflegung vollstationär (Basissatz)</t>
  </si>
  <si>
    <t>Unterkunft KZP</t>
  </si>
  <si>
    <t>Verpflegung KZP</t>
  </si>
  <si>
    <t>Unterkunft &amp; Verpflegung Kurzzeitpflege</t>
  </si>
  <si>
    <t>Gesamtdifferenz im Durchschnitt</t>
  </si>
  <si>
    <t/>
  </si>
  <si>
    <t>zwei</t>
  </si>
  <si>
    <t>drei</t>
  </si>
  <si>
    <t>vier</t>
  </si>
  <si>
    <t>fünf</t>
  </si>
  <si>
    <t>sechs</t>
  </si>
  <si>
    <t>sieben</t>
  </si>
  <si>
    <t>acht</t>
  </si>
  <si>
    <t>neun</t>
  </si>
  <si>
    <t>zehn</t>
  </si>
  <si>
    <t>elf</t>
  </si>
  <si>
    <t>zwölf</t>
  </si>
  <si>
    <t>dreizehn</t>
  </si>
  <si>
    <t>vierzehn</t>
  </si>
  <si>
    <t>fünfzehn</t>
  </si>
  <si>
    <t>sechzehn</t>
  </si>
  <si>
    <t>siebzehn</t>
  </si>
  <si>
    <t>achtzehn</t>
  </si>
  <si>
    <t>neunzehn</t>
  </si>
  <si>
    <t>zwanzig</t>
  </si>
  <si>
    <t>davon Gesamtkontingent eingestreute Kurzzeitpflege</t>
  </si>
  <si>
    <t>darin feste Kurzzeitpflegeplätze</t>
  </si>
  <si>
    <t>Anzahl Anwesenheitstage im Gesamtkontingent eingestreute Kurzzeitpflege</t>
  </si>
  <si>
    <t>Ergebnis des einzusetzenden Personal für das Gesamtkontingent eingestreute Kurzzeitpflege</t>
  </si>
  <si>
    <t>Gesamtkontingent eingestreute Kurzzeitpflegeplätze</t>
  </si>
  <si>
    <t>Ergänzungsvereinbarung zur</t>
  </si>
  <si>
    <t>der Kurzzeitpflege</t>
  </si>
  <si>
    <r>
      <t xml:space="preserve">werden folgende </t>
    </r>
    <r>
      <rPr>
        <b/>
        <sz val="11"/>
        <rFont val="Arial"/>
        <family val="2"/>
      </rPr>
      <t>Ergänzungen</t>
    </r>
    <r>
      <rPr>
        <sz val="11"/>
        <rFont val="Arial"/>
        <family val="2"/>
      </rPr>
      <t xml:space="preserve"> vereinbart:</t>
    </r>
  </si>
  <si>
    <t>Gegenstand dieser Vereinbarung ist die Vergütung der Leistungen der Kurzzeitpflege (§ 42</t>
  </si>
  <si>
    <t>SGB XI) oder notwendigen Ersatzpflege (§ 39 SGB XI), der Aufwendungen der medizinischen</t>
  </si>
  <si>
    <t>Behandlungspflege, der Betreuung und die Vergütung der Unterkunft und Verpflegung nach</t>
  </si>
  <si>
    <t>dem Achten Kapitel des Elften Buches Sozialgesetzbuch sowie die wesentlichen Leistungs-</t>
  </si>
  <si>
    <t>und Qualitätsmerkmale im Sinne des § 84 SGB XI.</t>
  </si>
  <si>
    <t>Die gegenüber den Landesverbänden der Pflegekassen in Nordrhein-Westfalen und dem</t>
  </si>
  <si>
    <t>überörtlichen Träger der Sozialhilfe abgegebene Verpflichtungserklärung zur Vorhaltung</t>
  </si>
  <si>
    <t>fester Kurzzeitpflegeplätze innerhalb des vertraglichen Kontingents an eingestreuten</t>
  </si>
  <si>
    <t>Kurzzeitpflegeplätzen zur ausschließlichen Belegung durch Kurzzeitpflegegäste bildet die</t>
  </si>
  <si>
    <t>wesentliche Grundlage dieser Ergänzungsvereinbarung.</t>
  </si>
  <si>
    <t>Diese festen Plätze sind nicht für die Belegung mit Bewohnern für die vollstationäre Pflege</t>
  </si>
  <si>
    <t>Einzug in die Pflegeeinrichtung.</t>
  </si>
  <si>
    <t>Die Pflegeeinrichtung hält zusätzlich zu der vereinbarten vollstationären Personalausstattung</t>
  </si>
  <si>
    <t>entsprechend der tatsächlich durchschnittlichen Belegung im Rahmen der Kurzzeitpflege</t>
  </si>
  <si>
    <t>0,1 VK Fachkräfte pro Platz</t>
  </si>
  <si>
    <t>im Pflege- oder Betreuungsdienst vor.</t>
  </si>
  <si>
    <t xml:space="preserve">Für die Leistungen der Kurzzeitpflege oder notwendigen Ersatzpflege einschließlich </t>
  </si>
  <si>
    <t>der medizinischen Behandlungspflege und der Aufwendungen für Betreuung beträgt</t>
  </si>
  <si>
    <t xml:space="preserve">der tägliche Pflegesatz für den </t>
  </si>
  <si>
    <t>Das von den Pflegebedürftigen zu tragende tägliche Entgelt beträgt für</t>
  </si>
  <si>
    <t>Entgelte für Unterkunft und Verpflegung erfolgt grundsätzlich kalendertäglich.</t>
  </si>
  <si>
    <t>sätze, die unter § 4 Ziffer 2 geltenden Entgelte für Unterkunft und Verpflegung bis zum</t>
  </si>
  <si>
    <t>Die Ergänzungsvereinbarung kann aus besonderem Grund von allen Vertragsparteien mit</t>
  </si>
  <si>
    <t>Verhandlung des Vergütungszuschlages nach § 84 (8) SGB XI</t>
  </si>
  <si>
    <t>Laufzeit Kurzzeitpflege:</t>
  </si>
  <si>
    <t>Eindeutiges Namenskürzel oder PNR</t>
  </si>
  <si>
    <t>Vereinbarung nach § 84 (8) SGB XI</t>
  </si>
  <si>
    <t>12.)</t>
  </si>
  <si>
    <t>Prüfberichte eingesehen?</t>
  </si>
  <si>
    <t>Heimaufsicht</t>
  </si>
  <si>
    <t>MDK</t>
  </si>
  <si>
    <t>13.)</t>
  </si>
  <si>
    <t>∑ Sonde</t>
  </si>
  <si>
    <t>= EEE (Fordg.)</t>
  </si>
  <si>
    <t>1.1</t>
  </si>
  <si>
    <t>1.2</t>
  </si>
  <si>
    <t>Für die Versorgung derjenigen Versicherten, deren Anspruch auf Leistungen nach § 42 SGB XI</t>
  </si>
  <si>
    <t>im Zeitpunkt der Aufnahme in die Einrichtung feststeht, weil mindestens die Voraussetzungen</t>
  </si>
  <si>
    <t>des Pflegegrades 2 erfüllt sind, bei denen aber eine Feststellung des konkreten Pflegegrades</t>
  </si>
  <si>
    <t>noch nicht erfolgt ist, gilt für den Zeitraum vom Beginn der Kurzzeitpflege bis zum Bekannt-</t>
  </si>
  <si>
    <t>werden des endgültigen Pflegegrades für die unter Ziffer 1.1 genannten Leistungen ein</t>
  </si>
  <si>
    <t>berechnungstäglicher Pflegesatz in Höhe von</t>
  </si>
  <si>
    <t>(Verweis PG 3).</t>
  </si>
  <si>
    <t>Ab Bekanntwerden des endgültig festgestellten Pflegegrades richtet sich die Vergütung nach</t>
  </si>
  <si>
    <t>Ziffer 1.1 dieser Vereinbarung. Eine Rückverrechnung erfolgt nicht.</t>
  </si>
  <si>
    <t>Erlöse PG 1 (neu)</t>
  </si>
  <si>
    <t>mtl. EEE:</t>
  </si>
  <si>
    <t>Nach Ablauf des Vereinbarungszeitraumes gelten die unter § 6 Ziffer 1.1 vereinbarten Pflege-</t>
  </si>
  <si>
    <r>
      <t xml:space="preserve">werden folgende </t>
    </r>
    <r>
      <rPr>
        <b/>
        <sz val="11"/>
        <rFont val="Arial"/>
        <family val="2"/>
      </rPr>
      <t>Änderungen</t>
    </r>
    <r>
      <rPr>
        <sz val="11"/>
        <rFont val="Arial"/>
        <family val="2"/>
      </rPr>
      <t xml:space="preserve"> und </t>
    </r>
    <r>
      <rPr>
        <b/>
        <sz val="11"/>
        <rFont val="Arial"/>
        <family val="2"/>
      </rPr>
      <t>Ergänzungen</t>
    </r>
    <r>
      <rPr>
        <sz val="11"/>
        <rFont val="Arial"/>
        <family val="2"/>
      </rPr>
      <t xml:space="preserve"> vereinbart:</t>
    </r>
  </si>
  <si>
    <r>
      <t>Im Rahmen eines bis zum 31.07.2021 befristeten Ministererlasses</t>
    </r>
    <r>
      <rPr>
        <vertAlign val="superscript"/>
        <sz val="11"/>
        <rFont val="Arial"/>
        <family val="2"/>
      </rPr>
      <t>1</t>
    </r>
    <r>
      <rPr>
        <sz val="11"/>
        <rFont val="Arial"/>
        <family val="2"/>
      </rPr>
      <t xml:space="preserve"> können Träger</t>
    </r>
  </si>
  <si>
    <t>vollstationärer Pflegeeinrichtungen zur Erfüllung der Einzelzimmerquote nach § 20 Abs.3 WTG</t>
  </si>
  <si>
    <t>die überzähligen Doppelzimmer ausschließlich für Leistungen der Kurzzeitpflege</t>
  </si>
  <si>
    <t xml:space="preserve">nach § 42 SGB XI nutzen. Sie können abweichend von der bestehenden Vereinbarung nach </t>
  </si>
  <si>
    <t xml:space="preserve">§§ 84, 85 und 87 SGB XI eine gesonderte Vergütung für die Leistungen der Kurzzeitpflege </t>
  </si>
  <si>
    <t xml:space="preserve">erhalten. Insoweit ergänzt diese Vereinbarung die Vergütungsvereinbarung </t>
  </si>
  <si>
    <t>Die Vergütung der Leistungen der Kurzzeitpflege erfolgt ausschließlich nach dieser Ergänzungs-</t>
  </si>
  <si>
    <t>vereinbarung.</t>
  </si>
  <si>
    <t>nach § 47 WTG vorgehalten. Die festen Kurzzeitpflegeplätze sind nicht für die Belegung mit</t>
  </si>
  <si>
    <t>Bewohnern für die vollstationäre Pflege zu verwenden. Dies umfasst auch das übergangsweise</t>
  </si>
  <si>
    <t>sogenannte Probewohnen vor dem Einzug in die Pflegeeinrichtung.</t>
  </si>
  <si>
    <t>regelung der WTG-Behörde nach § 47 WTG, nach der die oberhalb der gemäß § 20 Abs.3 Satz 3</t>
  </si>
  <si>
    <t>WTG vorgeschriebenen Einzelzimmerquote von 80% liegenden Doppelzimmer nach dem</t>
  </si>
  <si>
    <t>31.07.2018 ausschließlich für die Kurzzeitpflege im Sinne des § 42 SGB XI genutzt werden dürfen.</t>
  </si>
  <si>
    <t>0,1 VK Fachkräfte pro Kurzzeitpflegeplatz</t>
  </si>
  <si>
    <t>1 Erlass des Ministeriums für Arbeit, Gesundheit und Soziales des Landes Nordrhein-Westfalen</t>
  </si>
  <si>
    <t xml:space="preserve"> vom 26.10.2017.</t>
  </si>
  <si>
    <t xml:space="preserve">Inkrafttreten einer neuen Ergänzungsvereinbarung weiter (§ 85 Abs. 6 SGB XI), für die Dauer der  </t>
  </si>
  <si>
    <t xml:space="preserve">Ausnahmegenehmigung der WTG-Behörde nach § 47 WTG, längstens jedoch bis zum  </t>
  </si>
  <si>
    <t>31.07.2021.</t>
  </si>
  <si>
    <t>Der Widerruf der Umwidmung beendet zugleich diese Ergänzungsvereinbarung.</t>
  </si>
  <si>
    <t>einer Frist von vier Wochen zum Monatsende gekündigt werden.</t>
  </si>
  <si>
    <t>darin feste Kurzzeitpflegeplätze (Fix-Flex-Regelung o. § 47 WTG)</t>
  </si>
  <si>
    <t>Spitzabrechnung Wartungsaufwendungen bei Eigentum</t>
  </si>
  <si>
    <t xml:space="preserve">Investitionskostenfestsetzungsbescheid mit Wirkung ab </t>
  </si>
  <si>
    <t>1. Historie</t>
  </si>
  <si>
    <t>a. Soll</t>
  </si>
  <si>
    <t>b. Ist</t>
  </si>
  <si>
    <t>2. Spitzabrechnungsbetrag</t>
  </si>
  <si>
    <t>Zustimmung Verhandlungsergebnis</t>
  </si>
  <si>
    <t>IKK classic - Pflegekasse</t>
  </si>
  <si>
    <t>1.3</t>
  </si>
  <si>
    <t>Nach Ablauf des Vereinbarungszeitraumes gelten die unter § 4 Ziffer 1.1 vereinbarten Pflege-</t>
  </si>
  <si>
    <t>Die Abrechnung der unter Ziffer 1.1 vereinbarten Pflegesätze und der unter Ziffer 2 vereinbarten</t>
  </si>
  <si>
    <t>leistungen gemäß § 82a Abs. 3 SGB XI und wird zusammen mit den Pflegesätzen gemäß</t>
  </si>
  <si>
    <t>Zusätzlich zu den unter den Ziffern 1.1 und 1.2 ausgewiesenen Pflegesätzen ist ein Ausgleichs-</t>
  </si>
  <si>
    <t>betrag für die Refinanzierung nach der Altenpflegeausbildungsausgleichsverordnung auf der</t>
  </si>
  <si>
    <t>Grundlage von § 84 i. V. m. § 82a Abs. 3 SGB XI abrechnungsfähig. Seine aktuelle Höhe wird</t>
  </si>
  <si>
    <t>in Nordrhein-Westfalen neu festgelegt. Dieser Betrag ist Bestandteil der allgemeinen Pflege-</t>
  </si>
  <si>
    <t>kalenderjährlich durch den Grundsatzausschuss für die Kurzzeitpflege und vollstationäre Pflege</t>
  </si>
  <si>
    <t>den Ziffern 1.1 und 1.2 erhoben.</t>
  </si>
  <si>
    <t>vereinbarten Entgelte für Unterkunft und Verpflegung erfolgt grundsätzlich monatlich. Dies be-</t>
  </si>
  <si>
    <t>deutet, dass die vereinbarten berechnungstäglichen Pflegesätze und Entgelte mit der jahres-</t>
  </si>
  <si>
    <t>durchschnittlichen Zahl der Kalendertage je Monat (365 : 12 = 30,42) multipliziert werden und</t>
  </si>
  <si>
    <t>dieser so errechnete Betrag für jeden vollen Monat - unabhängig von der tatsächlichen Anzahl</t>
  </si>
  <si>
    <t>Heimwechsel oder Tod des Pflegebedürftigen) erfolgt die Abrechnung berechnungstäglich.</t>
  </si>
  <si>
    <t>der Kalendertage - berechnet wird. In Teilmonaten (Beginn und Ende der Pflege wegen Einzug,</t>
  </si>
  <si>
    <t>Die Abrechnung der unter den Ziffern 1.1 und 1.2 vereinbarten Pflegesätze und der unter Ziffer 2</t>
  </si>
  <si>
    <t>Vergütung Kurzzeitpflege (Fix-Flex-Regelung oder WTG-Erlass)</t>
  </si>
  <si>
    <t>Durchschnitts- belegung in %</t>
  </si>
  <si>
    <t>gleichsverordnung sowie des Vergütungszuschlages zur Refinanzierung des Umlagebetrages</t>
  </si>
  <si>
    <t>nach § 28 Abs. 2 PflBG.</t>
  </si>
  <si>
    <t>1.4</t>
  </si>
  <si>
    <t>Darüber hinaus ist, ebenfalls zusätzlich zu den unter den Ziffern 1.1 und 1.2 ausgewiesenen</t>
  </si>
  <si>
    <t>Pflegesätzen ein einrichtungsindividueller Vergütungszuschlag zur Refinanzierung des Um-</t>
  </si>
  <si>
    <t>Bestandteil der Pflegevergütung abrechnungsfähig. Die Höhe des Umlagebetrages wird</t>
  </si>
  <si>
    <t>der Einrichtung mitgeteilt. Auf Basis dieses Bescheides errechnet sich der berechnungstäg-</t>
  </si>
  <si>
    <t>einbarung gesondert ausgewiesen. Dieses Verfahren gilt bis zur Ausweisung des berechnungs-</t>
  </si>
  <si>
    <t>lagebetrages nach § 28 Abs. 2 Pflegeberufegesetz (PflBG) i. V. mit § 84 Abs. 1 SGB XI als</t>
  </si>
  <si>
    <t>separaten Vereinbarung wird der jeweils geltende Zuschlagsbetrag als Anlage zu dieser Ver-</t>
  </si>
  <si>
    <t>liche Zuschlag auf die unter den Ziffern 1.1 und 1.2 ausgewiesenen Beträge. In Form einer</t>
  </si>
  <si>
    <t>kalenderjährlich von der nach Landesrecht bestimmten Stelle per Bescheid festgesetzt und</t>
  </si>
  <si>
    <t>Vereinbarung gem. §§ 84, 85 + 87 SGB XI</t>
  </si>
  <si>
    <t>Verfahren nach § 115 (3a) SGB XI</t>
  </si>
  <si>
    <t>Ergebnis für die Vergütung der Leistungen nach § 43b SGB XI</t>
  </si>
  <si>
    <t>Steigerungsgrenze PSG II</t>
  </si>
  <si>
    <t>PKZ</t>
  </si>
  <si>
    <t>PG5</t>
  </si>
  <si>
    <t>Zustimmung Verhandlungsergebnis:</t>
  </si>
  <si>
    <t>Übersicht und Berechnung des Vergütungszuschlags nach § 84 (8) SGB XI</t>
  </si>
  <si>
    <t>Aufstellung der zusätzlichen sozialversicherungspflichtig beschäftigten Betreuungskräfte nach § 53b SGB XI und der Kosten</t>
  </si>
  <si>
    <t>Vergütungszuschlag nach § 84 (8) SGB XI/Monat</t>
  </si>
  <si>
    <t>Vergütungszuschlag nach § 84 (8) SGB XI/Tag</t>
  </si>
  <si>
    <t>Vergütungszuschlag 84 (8)/Monat</t>
  </si>
  <si>
    <t>Vergütungszuschlag 84 (8)/Tag</t>
  </si>
  <si>
    <t>Durchschnittliche Anzahl der Anspruchsberechtigten für Leistungen nach § 43b</t>
  </si>
  <si>
    <t>Berechnungsmonate</t>
  </si>
  <si>
    <t>Personalschlüssel</t>
  </si>
  <si>
    <t>Vorzuhaltendes Personal in VK  - Soll</t>
  </si>
  <si>
    <t>ggf. abweichende Eingabe des Ausfertigungsdatums der letzten Vergütungsvereinbarung!</t>
  </si>
  <si>
    <t>Erläuterung Steigerungsgrenze</t>
  </si>
  <si>
    <t>Tabellenblatt gelöscht</t>
  </si>
  <si>
    <t>VV KZP fix flex</t>
  </si>
  <si>
    <t>Zeile 61</t>
  </si>
  <si>
    <t>Zeile 102</t>
  </si>
  <si>
    <t>Änderung auf "Beschlüsse"</t>
  </si>
  <si>
    <t>Zeile 103</t>
  </si>
  <si>
    <t>Erweiterung um "und 09.09.2020"</t>
  </si>
  <si>
    <t>Zeile 166</t>
  </si>
  <si>
    <t>Änderung in "31.12.2022"</t>
  </si>
  <si>
    <t>I80</t>
  </si>
  <si>
    <t>Bezug auf Protokollblatt hergestellt</t>
  </si>
  <si>
    <t>Schade, Stormanns</t>
  </si>
  <si>
    <t>Protokoll</t>
  </si>
  <si>
    <t>H39</t>
  </si>
  <si>
    <t>VV</t>
  </si>
  <si>
    <t>ab Zeile 238</t>
  </si>
  <si>
    <t>Zu § 6 - Ziffer 1.5 eingefügt</t>
  </si>
  <si>
    <t>1.5</t>
  </si>
  <si>
    <t>Nach Auslaufen der Ergänzungsvereinbarung zur Refinanzierung der einrichtungsindividuellen</t>
  </si>
  <si>
    <t>Ausbildungskosten nach § 28 Abs. 2 Pflegeberufegesetz (PflBG) zum 31.12.2021 ist die</t>
  </si>
  <si>
    <t>Pflegeeinrichtung berechtigt, zur Finanzierung dieser einrichtungsindividuellen Ausbildungs-</t>
  </si>
  <si>
    <t>kosten, den im entsprechenden kalenderjährlichen Bescheid der Bezirksregierung Münster</t>
  </si>
  <si>
    <t>nachrichtlich ausgewiesenen Betrag zusammen mit den Pflegesätzen gemäß den Ziffern</t>
  </si>
  <si>
    <t>1.1 und 1.2 zu erheben, sofern dieser als berechnungstäglicher Wert ausgewiesen ist.</t>
  </si>
  <si>
    <t>Sollte in den Bescheiden der Bezirksregierung Münster keine Ausweisung des berechnungs-</t>
  </si>
  <si>
    <t>täglichen Wertes erfolgen, ist zur Finanzierung der einrichtungsindividuellen Ausbildungs-</t>
  </si>
  <si>
    <t>kosten eine Ergänzungsvereinbarung zu schließen.</t>
  </si>
  <si>
    <t>- 8 -</t>
  </si>
  <si>
    <t>ab Zeile 141</t>
  </si>
  <si>
    <t>Zu § 4 - Ziffer 1.4 eingefügt</t>
  </si>
  <si>
    <t>VV KzP WTG-Erlass</t>
  </si>
  <si>
    <t>ab Zeile 150</t>
  </si>
  <si>
    <t>Zu § 4 - Ziffer 1.5 eingefügt</t>
  </si>
  <si>
    <t>täglichen Vergütungszuschlages durch die nach Landesrecht zuständige Stelle.</t>
  </si>
  <si>
    <t>Pauschal</t>
  </si>
  <si>
    <t>A17</t>
  </si>
  <si>
    <t>Hinweis, wenn Abweichung zwischen Copy &amp; Paste F23 und Zelle C19</t>
  </si>
  <si>
    <t>H17</t>
  </si>
  <si>
    <t>Sichtbarer Kommentar mit Hinweis ggf. Korrekturbetrag PG 1 in die Formel einzubauen</t>
  </si>
  <si>
    <t>§ 132 a SGB V</t>
  </si>
  <si>
    <t>ab Zeile 143</t>
  </si>
  <si>
    <t>Zusätzlicher Absatz 4 zum Thema IPReG</t>
  </si>
  <si>
    <r>
      <t xml:space="preserve">Anwesenheitstage </t>
    </r>
    <r>
      <rPr>
        <sz val="7"/>
        <color indexed="8"/>
        <rFont val="Calibri"/>
        <family val="2"/>
        <scheme val="minor"/>
      </rPr>
      <t>(prosp. Vereinbarungszeitraum)</t>
    </r>
  </si>
  <si>
    <r>
      <t xml:space="preserve">Abwesenheitstage </t>
    </r>
    <r>
      <rPr>
        <sz val="7"/>
        <color theme="1"/>
        <rFont val="Calibri"/>
        <family val="2"/>
        <scheme val="minor"/>
      </rPr>
      <t>(prosp. Vereinbarungszeitraum)</t>
    </r>
  </si>
  <si>
    <r>
      <t xml:space="preserve">Berechnungstage </t>
    </r>
    <r>
      <rPr>
        <sz val="8"/>
        <color theme="1"/>
        <rFont val="Calibri"/>
        <family val="2"/>
        <scheme val="minor"/>
      </rPr>
      <t>(Zeile 10 + 11 * Gewicht)</t>
    </r>
  </si>
  <si>
    <r>
      <t xml:space="preserve">Aufwand </t>
    </r>
    <r>
      <rPr>
        <sz val="10"/>
        <color indexed="8"/>
        <rFont val="Calibri"/>
        <family val="2"/>
        <scheme val="minor"/>
      </rPr>
      <t xml:space="preserve">
</t>
    </r>
    <r>
      <rPr>
        <b/>
        <sz val="10"/>
        <color indexed="8"/>
        <rFont val="Calibri"/>
        <family val="2"/>
        <scheme val="minor"/>
      </rPr>
      <t>je VK
pro Jahr</t>
    </r>
  </si>
  <si>
    <r>
      <t xml:space="preserve">Sachaufwendungen </t>
    </r>
    <r>
      <rPr>
        <sz val="16"/>
        <color indexed="8"/>
        <rFont val="Calibri"/>
        <family val="2"/>
        <scheme val="minor"/>
      </rPr>
      <t xml:space="preserve"> </t>
    </r>
  </si>
  <si>
    <r>
      <t xml:space="preserve">Verpflegung </t>
    </r>
    <r>
      <rPr>
        <b/>
        <vertAlign val="subscript"/>
        <sz val="10"/>
        <color theme="1"/>
        <rFont val="Calibri"/>
        <family val="2"/>
        <scheme val="minor"/>
      </rPr>
      <t>Sonde</t>
    </r>
  </si>
  <si>
    <r>
      <t xml:space="preserve">Korrekturbetrag </t>
    </r>
    <r>
      <rPr>
        <vertAlign val="subscript"/>
        <sz val="10"/>
        <color theme="1"/>
        <rFont val="Calibri"/>
        <family val="2"/>
        <scheme val="minor"/>
      </rPr>
      <t>btgl.</t>
    </r>
  </si>
  <si>
    <r>
      <t xml:space="preserve">Erlöse </t>
    </r>
    <r>
      <rPr>
        <b/>
        <sz val="6"/>
        <rFont val="Calibri"/>
        <family val="2"/>
        <scheme val="minor"/>
      </rPr>
      <t>aus PG 2 - PG 5</t>
    </r>
  </si>
  <si>
    <r>
      <t>Gesamterlöse aus</t>
    </r>
    <r>
      <rPr>
        <b/>
        <sz val="9"/>
        <color rgb="FFFF0000"/>
        <rFont val="Calibri"/>
        <family val="2"/>
        <scheme val="minor"/>
      </rPr>
      <t xml:space="preserve"> PG 1</t>
    </r>
    <r>
      <rPr>
        <b/>
        <sz val="9"/>
        <color theme="1"/>
        <rFont val="Calibri"/>
        <family val="2"/>
        <scheme val="minor"/>
      </rPr>
      <t xml:space="preserve"> - PG 5 sowie UuV</t>
    </r>
  </si>
  <si>
    <r>
      <t xml:space="preserve">UV </t>
    </r>
    <r>
      <rPr>
        <vertAlign val="subscript"/>
        <sz val="8"/>
        <rFont val="Calibri"/>
        <family val="2"/>
        <scheme val="minor"/>
      </rPr>
      <t>Abrechnung (neu)</t>
    </r>
  </si>
  <si>
    <r>
      <t xml:space="preserve">UV </t>
    </r>
    <r>
      <rPr>
        <vertAlign val="subscript"/>
        <sz val="8"/>
        <rFont val="Calibri"/>
        <family val="2"/>
        <scheme val="minor"/>
      </rPr>
      <t>Abrechnung (alt)</t>
    </r>
  </si>
  <si>
    <r>
      <t xml:space="preserve">Gesamtbudget </t>
    </r>
    <r>
      <rPr>
        <vertAlign val="subscript"/>
        <sz val="9"/>
        <rFont val="Calibri"/>
        <family val="2"/>
        <scheme val="minor"/>
      </rPr>
      <t>(alt)</t>
    </r>
  </si>
  <si>
    <r>
      <t xml:space="preserve">UV </t>
    </r>
    <r>
      <rPr>
        <vertAlign val="subscript"/>
        <sz val="8"/>
        <rFont val="Calibri"/>
        <family val="2"/>
        <scheme val="minor"/>
      </rPr>
      <t>Basiswert (alt)</t>
    </r>
  </si>
  <si>
    <r>
      <t xml:space="preserve">Gesamtbudget </t>
    </r>
    <r>
      <rPr>
        <vertAlign val="subscript"/>
        <sz val="9"/>
        <rFont val="Calibri"/>
        <family val="2"/>
        <scheme val="minor"/>
      </rPr>
      <t>(neu)</t>
    </r>
  </si>
  <si>
    <r>
      <t xml:space="preserve">Verpflegung </t>
    </r>
    <r>
      <rPr>
        <vertAlign val="subscript"/>
        <sz val="8"/>
        <rFont val="Calibri"/>
        <family val="2"/>
        <scheme val="minor"/>
      </rPr>
      <t>Sonde</t>
    </r>
  </si>
  <si>
    <r>
      <t xml:space="preserve">UV </t>
    </r>
    <r>
      <rPr>
        <vertAlign val="subscript"/>
        <sz val="8"/>
        <rFont val="Calibri"/>
        <family val="2"/>
        <scheme val="minor"/>
      </rPr>
      <t>Basis (neu)</t>
    </r>
  </si>
  <si>
    <r>
      <t>Summe Unterkunft + Verpflegung</t>
    </r>
    <r>
      <rPr>
        <vertAlign val="subscript"/>
        <sz val="8"/>
        <rFont val="Calibri"/>
        <family val="2"/>
        <scheme val="minor"/>
      </rPr>
      <t xml:space="preserve"> Beköstigte</t>
    </r>
  </si>
  <si>
    <r>
      <t>Summe Unterkunft + Verpflegung</t>
    </r>
    <r>
      <rPr>
        <vertAlign val="subscript"/>
        <sz val="8"/>
        <rFont val="Calibri"/>
        <family val="2"/>
        <scheme val="minor"/>
      </rPr>
      <t xml:space="preserve"> </t>
    </r>
    <r>
      <rPr>
        <u/>
        <sz val="11"/>
        <rFont val="Calibri"/>
        <family val="2"/>
        <scheme val="minor"/>
      </rPr>
      <t>Beköstigte</t>
    </r>
    <r>
      <rPr>
        <vertAlign val="subscript"/>
        <sz val="8"/>
        <rFont val="Calibri"/>
        <family val="2"/>
        <scheme val="minor"/>
      </rPr>
      <t xml:space="preserve"> Kurzzeitpflege</t>
    </r>
  </si>
  <si>
    <r>
      <t xml:space="preserve">Sonde </t>
    </r>
    <r>
      <rPr>
        <u/>
        <sz val="11"/>
        <rFont val="Calibri"/>
        <family val="2"/>
        <scheme val="minor"/>
      </rPr>
      <t>Kurzzeitpflege</t>
    </r>
  </si>
  <si>
    <r>
      <t xml:space="preserve">∑ Sonde </t>
    </r>
    <r>
      <rPr>
        <u/>
        <sz val="11"/>
        <rFont val="Calibri"/>
        <family val="2"/>
        <scheme val="minor"/>
      </rPr>
      <t>Kurzzeitpflege</t>
    </r>
  </si>
  <si>
    <r>
      <t xml:space="preserve">prospektive Personalkosten Pflege </t>
    </r>
    <r>
      <rPr>
        <i/>
        <sz val="10"/>
        <rFont val="Calibri"/>
        <family val="2"/>
        <scheme val="minor"/>
      </rPr>
      <t>(nur bei einer Pauschale)</t>
    </r>
  </si>
  <si>
    <r>
      <rPr>
        <b/>
        <sz val="10"/>
        <rFont val="Calibri"/>
        <family val="2"/>
        <scheme val="minor"/>
      </rPr>
      <t>prospektiver Basiswert UuV</t>
    </r>
    <r>
      <rPr>
        <sz val="10"/>
        <rFont val="Calibri"/>
        <family val="2"/>
        <scheme val="minor"/>
      </rPr>
      <t xml:space="preserve"> </t>
    </r>
    <r>
      <rPr>
        <i/>
        <sz val="10"/>
        <rFont val="Calibri"/>
        <family val="2"/>
        <scheme val="minor"/>
      </rPr>
      <t>(nur bei einer Pauschale)</t>
    </r>
  </si>
  <si>
    <r>
      <t>Durchschnitts- belegung (</t>
    </r>
    <r>
      <rPr>
        <vertAlign val="subscript"/>
        <sz val="8"/>
        <rFont val="Calibri"/>
        <family val="2"/>
        <scheme val="minor"/>
      </rPr>
      <t>netto)</t>
    </r>
    <r>
      <rPr>
        <sz val="8"/>
        <rFont val="Calibri"/>
        <family val="2"/>
        <scheme val="minor"/>
      </rPr>
      <t xml:space="preserve"> in %</t>
    </r>
  </si>
  <si>
    <r>
      <t>IV. Personalkosten</t>
    </r>
    <r>
      <rPr>
        <sz val="10"/>
        <color indexed="8"/>
        <rFont val="Calibri"/>
        <family val="2"/>
        <scheme val="minor"/>
      </rPr>
      <t xml:space="preserve">            incl. Personalnebenkosten</t>
    </r>
  </si>
  <si>
    <r>
      <t>Verwaltungsbedarf</t>
    </r>
    <r>
      <rPr>
        <sz val="10"/>
        <color indexed="8"/>
        <rFont val="Calibri"/>
        <family val="2"/>
        <scheme val="minor"/>
      </rPr>
      <t xml:space="preserve">                                            (z.B. Büromaterial, Telefon, Verbandsumlage, Sonstiges)</t>
    </r>
  </si>
  <si>
    <r>
      <t xml:space="preserve">Sonstiges                                     </t>
    </r>
    <r>
      <rPr>
        <sz val="10"/>
        <color indexed="8"/>
        <rFont val="Calibri"/>
        <family val="2"/>
        <scheme val="minor"/>
      </rPr>
      <t>(ohne Personalnebenkosten)</t>
    </r>
  </si>
  <si>
    <r>
      <t xml:space="preserve">Summe Sachkosten                               </t>
    </r>
    <r>
      <rPr>
        <sz val="8"/>
        <color indexed="8"/>
        <rFont val="Calibri"/>
        <family val="2"/>
        <scheme val="minor"/>
      </rPr>
      <t>(80 bis 95)</t>
    </r>
  </si>
  <si>
    <r>
      <t xml:space="preserve">Summe Personalkosten                               </t>
    </r>
    <r>
      <rPr>
        <sz val="8"/>
        <color indexed="8"/>
        <rFont val="Calibri"/>
        <family val="2"/>
        <scheme val="minor"/>
      </rPr>
      <t>(52 bis 76)</t>
    </r>
  </si>
  <si>
    <r>
      <t xml:space="preserve">1) </t>
    </r>
    <r>
      <rPr>
        <b/>
        <sz val="11"/>
        <rFont val="Calibri"/>
        <family val="2"/>
      </rPr>
      <t>Arbeitgeberbrutto beinhaltet:</t>
    </r>
  </si>
  <si>
    <r>
      <t xml:space="preserve">AG brutto (prosp)    </t>
    </r>
    <r>
      <rPr>
        <b/>
        <vertAlign val="superscript"/>
        <sz val="10"/>
        <rFont val="Calibri"/>
        <family val="2"/>
        <scheme val="minor"/>
      </rPr>
      <t>1)</t>
    </r>
  </si>
  <si>
    <r>
      <t xml:space="preserve">1) </t>
    </r>
    <r>
      <rPr>
        <b/>
        <sz val="11"/>
        <rFont val="Calibri"/>
        <family val="2"/>
        <scheme val="minor"/>
      </rPr>
      <t>Arbeitgeberbrutto beinhaltet:</t>
    </r>
  </si>
  <si>
    <r>
      <t xml:space="preserve">               </t>
    </r>
    <r>
      <rPr>
        <b/>
        <i/>
        <sz val="10"/>
        <color rgb="FFFF0000"/>
        <rFont val="Calibri"/>
        <family val="2"/>
        <scheme val="minor"/>
      </rPr>
      <t>Nur vdek</t>
    </r>
    <r>
      <rPr>
        <b/>
        <i/>
        <sz val="10"/>
        <color rgb="FF7030A0"/>
        <rFont val="Calibri"/>
        <family val="2"/>
        <scheme val="minor"/>
      </rPr>
      <t>: Auswahl bei Zuständigkeit mehrerer Verhandler für einen Ort</t>
    </r>
  </si>
  <si>
    <r>
      <t xml:space="preserve">Basiswert </t>
    </r>
    <r>
      <rPr>
        <sz val="8"/>
        <rFont val="Calibri"/>
        <family val="2"/>
        <scheme val="minor"/>
      </rPr>
      <t>für Unterkunft &amp; Verpflegung</t>
    </r>
  </si>
  <si>
    <r>
      <t>ggf.</t>
    </r>
    <r>
      <rPr>
        <sz val="11"/>
        <rFont val="Calibri"/>
        <family val="2"/>
        <scheme val="minor"/>
      </rPr>
      <t xml:space="preserve"> </t>
    </r>
    <r>
      <rPr>
        <sz val="8"/>
        <rFont val="Calibri"/>
        <family val="2"/>
        <scheme val="minor"/>
      </rPr>
      <t>aus sonstigen Erlösen</t>
    </r>
  </si>
  <si>
    <r>
      <t xml:space="preserve">davon </t>
    </r>
    <r>
      <rPr>
        <b/>
        <u/>
        <sz val="7"/>
        <color theme="0"/>
        <rFont val="Calibri"/>
        <family val="2"/>
        <scheme val="minor"/>
      </rPr>
      <t>Anwesenheitstage</t>
    </r>
    <r>
      <rPr>
        <b/>
        <sz val="7"/>
        <color theme="0"/>
        <rFont val="Calibri"/>
        <family val="2"/>
        <scheme val="minor"/>
      </rPr>
      <t xml:space="preserve"> mit 
eingeschränkter
Alltagskompetenz
(PEA)</t>
    </r>
  </si>
  <si>
    <r>
      <t xml:space="preserve">davon </t>
    </r>
    <r>
      <rPr>
        <b/>
        <u/>
        <sz val="7"/>
        <color theme="0"/>
        <rFont val="Calibri"/>
        <family val="2"/>
        <scheme val="minor"/>
      </rPr>
      <t>Abwesenheitstage</t>
    </r>
    <r>
      <rPr>
        <b/>
        <sz val="7"/>
        <color theme="0"/>
        <rFont val="Calibri"/>
        <family val="2"/>
        <scheme val="minor"/>
      </rPr>
      <t xml:space="preserve"> mit 
eingeschränkter
Alltagskompetenz
(PEA)</t>
    </r>
  </si>
  <si>
    <r>
      <t xml:space="preserve">Hausmeister </t>
    </r>
    <r>
      <rPr>
        <sz val="8"/>
        <color indexed="8"/>
        <rFont val="Calibri"/>
        <family val="2"/>
        <scheme val="minor"/>
      </rPr>
      <t>(ohne Instandhaltung)</t>
    </r>
  </si>
  <si>
    <r>
      <t xml:space="preserve">Verbrauchsgüter </t>
    </r>
    <r>
      <rPr>
        <sz val="8"/>
        <color indexed="8"/>
        <rFont val="Calibri"/>
        <family val="2"/>
        <scheme val="minor"/>
      </rPr>
      <t>(gemäß § 82 Absatz 2 SGB XI)</t>
    </r>
  </si>
  <si>
    <r>
      <t xml:space="preserve">Wartung </t>
    </r>
    <r>
      <rPr>
        <b/>
        <sz val="8"/>
        <color indexed="8"/>
        <rFont val="Calibri"/>
        <family val="2"/>
        <scheme val="minor"/>
      </rPr>
      <t>(ohne Instandhaltung)</t>
    </r>
  </si>
  <si>
    <r>
      <t xml:space="preserve">Sonstiges </t>
    </r>
    <r>
      <rPr>
        <sz val="8"/>
        <color indexed="8"/>
        <rFont val="Calibri"/>
        <family val="2"/>
        <scheme val="minor"/>
      </rPr>
      <t>(ohne Personalnebenkosten)</t>
    </r>
  </si>
  <si>
    <t>Vergütungsvorschlag der Einrichtung</t>
  </si>
  <si>
    <t>13a</t>
  </si>
  <si>
    <t>13b</t>
  </si>
  <si>
    <t>letzter EEE:</t>
  </si>
  <si>
    <r>
      <t xml:space="preserve">Unterkunft </t>
    </r>
    <r>
      <rPr>
        <vertAlign val="subscript"/>
        <sz val="10"/>
        <rFont val="Calibri"/>
        <family val="2"/>
        <scheme val="minor"/>
      </rPr>
      <t>Abrechnung</t>
    </r>
  </si>
  <si>
    <r>
      <t xml:space="preserve">Verpflegung </t>
    </r>
    <r>
      <rPr>
        <vertAlign val="subscript"/>
        <sz val="10"/>
        <rFont val="Calibri"/>
        <family val="2"/>
        <scheme val="minor"/>
      </rPr>
      <t>Abrechnung</t>
    </r>
  </si>
  <si>
    <r>
      <t xml:space="preserve">Verpflegung </t>
    </r>
    <r>
      <rPr>
        <vertAlign val="subscript"/>
        <sz val="10"/>
        <rFont val="Calibri"/>
        <family val="2"/>
        <scheme val="minor"/>
      </rPr>
      <t>Sonde</t>
    </r>
  </si>
  <si>
    <t>Copy &amp; Paste</t>
  </si>
  <si>
    <t>Zeilen 29 bis 31</t>
  </si>
  <si>
    <r>
      <t xml:space="preserve">Getrennte Darstellung von Unterkunft </t>
    </r>
    <r>
      <rPr>
        <b/>
        <u/>
        <sz val="10"/>
        <rFont val="Arial"/>
        <family val="2"/>
      </rPr>
      <t>und</t>
    </r>
    <r>
      <rPr>
        <sz val="10"/>
        <rFont val="Arial"/>
        <family val="2"/>
      </rPr>
      <t xml:space="preserve"> Verpflegung</t>
    </r>
  </si>
  <si>
    <t>Seite 1</t>
  </si>
  <si>
    <t>bisherige Pflegesätze</t>
  </si>
  <si>
    <t>UuV Basiswert [alt]</t>
  </si>
  <si>
    <t>Anlage § 132a SGB V Investkosten</t>
  </si>
  <si>
    <t>neu aufgenommen</t>
  </si>
  <si>
    <t>Scheller/Vehlow</t>
  </si>
  <si>
    <t>Korschenbroich</t>
  </si>
  <si>
    <t>Kontakte</t>
  </si>
  <si>
    <t>Kontaktliste aktualisiert</t>
  </si>
  <si>
    <t>Werte letztes Ergebnisblatt</t>
  </si>
  <si>
    <t>C12; B12</t>
  </si>
  <si>
    <t>Inhalte zu Spezialeinrichtungen gelöscht</t>
  </si>
  <si>
    <t>B202 : B222</t>
  </si>
  <si>
    <t>B13; C13</t>
  </si>
  <si>
    <t>D31; D32</t>
  </si>
  <si>
    <t>Nebenberechnungen SGB V</t>
  </si>
  <si>
    <t>§ 132a SGB V</t>
  </si>
  <si>
    <t>Anlage 1 Invest</t>
  </si>
  <si>
    <t>gelöscht</t>
  </si>
  <si>
    <t>Berechnungshilfe</t>
  </si>
  <si>
    <t>Vergütungszuschlag - Pauschale Steigerung</t>
  </si>
  <si>
    <t>Zuschlag letzte Vereinbarung:</t>
  </si>
  <si>
    <t>Pauschale Tarifhäuser</t>
  </si>
  <si>
    <t>Pauschale privatgewerbl. Pflegeeinr.</t>
  </si>
  <si>
    <t>Ergebnis Tarifhäuser</t>
  </si>
  <si>
    <t>Ergebnis privatgewerbl. Pflegeeinr.</t>
  </si>
  <si>
    <t>überschrieben werden !</t>
  </si>
  <si>
    <t xml:space="preserve">Prozentsatz kann bei Bedarf </t>
  </si>
  <si>
    <t>G39 : K46</t>
  </si>
  <si>
    <t>Übersicht + Berechnung</t>
  </si>
  <si>
    <t>Pauschalberechnung integriert</t>
  </si>
  <si>
    <t>Schade/Vehlow</t>
  </si>
  <si>
    <t>Anlage 2 zum Gemeinsamen Nachweis gemäß § 85 Abs. 3 SGB XI für stationäre Pflegeeinrichtungen in NRW</t>
  </si>
  <si>
    <t>Ausbildungs-kosten (p. a.)</t>
  </si>
  <si>
    <t>AG brutto inkl. Ausbildung
(p. a.)</t>
  </si>
  <si>
    <t>AG brutto inkl. FoWeiterBi 
(p. a.)</t>
  </si>
  <si>
    <t>Ausbildung
 (p. a.)</t>
  </si>
  <si>
    <t>Hinweise und Anmerkungen zu den Personalkosten der jeweiligen Mitarbeitenden</t>
  </si>
  <si>
    <t>(ggf.) tarifliche Einstufung</t>
  </si>
  <si>
    <t>Stellen-umfang (Ist)</t>
  </si>
  <si>
    <t>Stellen-umfang (prosp.)</t>
  </si>
  <si>
    <t>Berufsbezeichnung</t>
  </si>
  <si>
    <t>Eintritts-/
Austrittsdatum</t>
  </si>
  <si>
    <t>Qualifikation gem. § 85 Abs. 9 Nr. 1 a - c SGB XI</t>
  </si>
  <si>
    <t>1a: abgeschlossene Ausbildung vorhanden</t>
  </si>
  <si>
    <t>1b: berufsbegleitende Ausbildung wurde begonnen</t>
  </si>
  <si>
    <t>1c: berufsbegleitende Ausbildung wird in den nächsten 2 Jahren begonnen</t>
  </si>
  <si>
    <t>prospektiv kalkulierte Werte im o. g. Vergütungszeitraum</t>
  </si>
  <si>
    <r>
      <t xml:space="preserve">prospektiv kalkulierte Werte im o. g. Vergütungszeitraum
</t>
    </r>
    <r>
      <rPr>
        <b/>
        <sz val="12"/>
        <color indexed="10"/>
        <rFont val="Calibri"/>
        <family val="2"/>
      </rPr>
      <t>Forderung</t>
    </r>
  </si>
  <si>
    <t>Vergütungszuschlag nach § 84 Abs. 9?</t>
  </si>
  <si>
    <t>Berechnungstage § 84 (9):</t>
  </si>
  <si>
    <t>prosp. Vergütungszeitraum vom:</t>
  </si>
  <si>
    <t>Nachweiszeitraum vom:</t>
  </si>
  <si>
    <t>vom:</t>
  </si>
  <si>
    <r>
      <t xml:space="preserve">Aufstellung der über den Vergütungszuschlag nach </t>
    </r>
    <r>
      <rPr>
        <b/>
        <sz val="16"/>
        <rFont val="Calibri"/>
        <family val="2"/>
      </rPr>
      <t>§ 84 Abs. 9 SGB XI</t>
    </r>
    <r>
      <rPr>
        <sz val="16"/>
        <rFont val="Calibri"/>
        <family val="2"/>
      </rPr>
      <t xml:space="preserve"> </t>
    </r>
    <r>
      <rPr>
        <u/>
        <sz val="16"/>
        <rFont val="Calibri"/>
        <family val="2"/>
      </rPr>
      <t>zusätzlich</t>
    </r>
    <r>
      <rPr>
        <sz val="16"/>
        <rFont val="Calibri"/>
        <family val="2"/>
      </rPr>
      <t xml:space="preserve"> finanzierten Stellen an Pflegehilfskraftpersonal</t>
    </r>
  </si>
  <si>
    <t>mtl. Vergütungszuschlag (alt)</t>
  </si>
  <si>
    <t>btgl. Vergütungszuschlag (alt)</t>
  </si>
  <si>
    <t>Ermittlung prospektiven Vergütungszuschlag</t>
  </si>
  <si>
    <t>Gesamtsumme prospektiver Personalaufwendungen</t>
  </si>
  <si>
    <t>prospektiver Vergütungszuschlag pro Monat</t>
  </si>
  <si>
    <t>prospektiver Vergütungszuschlag pro Berechnungstag (KzP)</t>
  </si>
  <si>
    <t xml:space="preserve">Name der Einrichtung </t>
  </si>
  <si>
    <t>Straße / Nr.</t>
  </si>
  <si>
    <t>Postleitzahl</t>
  </si>
  <si>
    <t>Tarifbereich</t>
  </si>
  <si>
    <t>Angebotart</t>
  </si>
  <si>
    <t xml:space="preserve">(Zuschlag §84 (9) pro Monat) </t>
  </si>
  <si>
    <t>Zuschlag §84 (9) pro Tag</t>
  </si>
  <si>
    <r>
      <t xml:space="preserve">Stellenanteil mit </t>
    </r>
    <r>
      <rPr>
        <b/>
        <u/>
        <sz val="9"/>
        <color theme="1"/>
        <rFont val="Lucida Sans Unicode"/>
        <family val="2"/>
      </rPr>
      <t>abgeschlossener</t>
    </r>
    <r>
      <rPr>
        <b/>
        <sz val="9"/>
        <color theme="1"/>
        <rFont val="Lucida Sans Unicode"/>
        <family val="2"/>
      </rPr>
      <t xml:space="preserve"> Ausbildung</t>
    </r>
  </si>
  <si>
    <r>
      <t xml:space="preserve">Stellenanteil mit </t>
    </r>
    <r>
      <rPr>
        <b/>
        <u/>
        <sz val="9"/>
        <color theme="1"/>
        <rFont val="Lucida Sans Unicode"/>
        <family val="2"/>
      </rPr>
      <t>begonnener</t>
    </r>
    <r>
      <rPr>
        <b/>
        <sz val="9"/>
        <color theme="1"/>
        <rFont val="Lucida Sans Unicode"/>
        <family val="2"/>
      </rPr>
      <t xml:space="preserve"> Ausbildung</t>
    </r>
  </si>
  <si>
    <r>
      <t xml:space="preserve">Stellenanteil </t>
    </r>
    <r>
      <rPr>
        <b/>
        <u/>
        <sz val="9"/>
        <color theme="1"/>
        <rFont val="Lucida Sans Unicode"/>
        <family val="2"/>
      </rPr>
      <t>ohne</t>
    </r>
    <r>
      <rPr>
        <b/>
        <sz val="9"/>
        <color theme="1"/>
        <rFont val="Lucida Sans Unicode"/>
        <family val="2"/>
      </rPr>
      <t xml:space="preserve"> Ausbildung</t>
    </r>
  </si>
  <si>
    <t>Geförderte Stellen (gesamt)</t>
  </si>
  <si>
    <t>Mindestlaufzeit bis</t>
  </si>
  <si>
    <t>Laufzeit ab (gültig ab)  (TEXT)</t>
  </si>
  <si>
    <t>gültig bis (Standardvorgabe, TEXT)</t>
  </si>
  <si>
    <t>31.12.9999</t>
  </si>
  <si>
    <t>Anmerkungen</t>
  </si>
  <si>
    <t>Dieses Tabellenblatt ist nicht von der Pflegeeinrichtung auszufüllen.</t>
  </si>
  <si>
    <t>Dieses Tabellenblatt dient den Kostenträgern zur Bearbeitung der Mitteilung.</t>
  </si>
  <si>
    <t>1a: abgeschlossene Ausbildung vorhanden:</t>
  </si>
  <si>
    <t>1c: berufsbegleitende Ausbildung wird in den nächsten 2 Jahren begonnen:</t>
  </si>
  <si>
    <t>1b: berufsbegleitende Ausbildung begonnen:</t>
  </si>
  <si>
    <t>↕  in %</t>
  </si>
  <si>
    <t>Vergütungszuschläge nach § 84 Abs. 9 SGB XI</t>
  </si>
  <si>
    <t>Vereinbarungsbestandteile der Vergütung</t>
  </si>
  <si>
    <r>
      <t xml:space="preserve">Vergütungszuschläge nach § 84 </t>
    </r>
    <r>
      <rPr>
        <b/>
        <i/>
        <u/>
        <sz val="14"/>
        <color theme="3"/>
        <rFont val="Calibri"/>
        <family val="2"/>
        <scheme val="minor"/>
      </rPr>
      <t>Abs. 8</t>
    </r>
    <r>
      <rPr>
        <b/>
        <i/>
        <sz val="14"/>
        <color theme="3"/>
        <rFont val="Calibri"/>
        <family val="2"/>
        <scheme val="minor"/>
      </rPr>
      <t xml:space="preserve"> SGB XI</t>
    </r>
  </si>
  <si>
    <r>
      <t xml:space="preserve">Vergütungszuschläge nach § 84 </t>
    </r>
    <r>
      <rPr>
        <b/>
        <i/>
        <u/>
        <sz val="14"/>
        <color theme="3"/>
        <rFont val="Calibri"/>
        <family val="2"/>
        <scheme val="minor"/>
      </rPr>
      <t>Abs. 9</t>
    </r>
    <r>
      <rPr>
        <b/>
        <i/>
        <sz val="14"/>
        <color theme="3"/>
        <rFont val="Calibri"/>
        <family val="2"/>
        <scheme val="minor"/>
      </rPr>
      <t xml:space="preserve"> SGB XI</t>
    </r>
  </si>
  <si>
    <t>Auf Grundlage des § 84 Abs. 9 SGB XI hält die Pflegeeinrichtung zusätzlich zu der in § 5 ver-</t>
  </si>
  <si>
    <t>Pflegehilfskraftpersonal vor.</t>
  </si>
  <si>
    <t>barten personellen Ausstattung für die Unterstützung der Leistungserbringung zusätzliches</t>
  </si>
  <si>
    <t>Die Pflegeeinrichtung verpflichtet sich folgende Grundsätze einzuhalten:</t>
  </si>
  <si>
    <t>b) das berufsbegleitend eine Ausbildung im Sinne von Buchstabe a) begonnen hat oder</t>
  </si>
  <si>
    <t>c) für das die vollstationäre Pflegeeinrichtung sicherstellt, dass es spätestens bis zum Ab-</t>
  </si>
  <si>
    <t xml:space="preserve">    lauf von zwei Jahren nach Vereinbarung des Vergütungszuschlages nach § 84 Abs. 9</t>
  </si>
  <si>
    <t xml:space="preserve">    Satz 1 oder nach Mitteilung nach Abs. 11 Satz 1 eine berufsbegleitende, landesrechtlich</t>
  </si>
  <si>
    <t xml:space="preserve">    geregelte Assistenz- oder Helferausbildung in der Pflege beginnen wird, die die von der </t>
  </si>
  <si>
    <t xml:space="preserve">    als Mindestanforderungen beschlossenen "Eckpunkte für die in Länderzuständigkeit liegen-</t>
  </si>
  <si>
    <t xml:space="preserve">    erfüllt, es sei denn, dass der Beginn oder die Durchführung dieser Ausbildung aus Gründen,</t>
  </si>
  <si>
    <t xml:space="preserve">    die die Einrichtung nicht zu vertreten hat, unmöglich ist.</t>
  </si>
  <si>
    <t>Die Pflegeeinrichtung hält zusätzliche Stellenanteile an Pflegehilfskräften im Umfang von bis zu</t>
  </si>
  <si>
    <r>
      <rPr>
        <b/>
        <sz val="11"/>
        <rFont val="Arial"/>
        <family val="2"/>
      </rPr>
      <t>0,016</t>
    </r>
    <r>
      <rPr>
        <sz val="11"/>
        <rFont val="Arial"/>
        <family val="2"/>
      </rPr>
      <t xml:space="preserve"> Vollzeitäquivalenten je Pflegebedürftigen des Pflegegrades 1 oder 2,</t>
    </r>
  </si>
  <si>
    <t>mindestens aber 0,5 Vollzeitäquivalente, für den Pflegesatzzeitraum vor.</t>
  </si>
  <si>
    <r>
      <rPr>
        <b/>
        <sz val="11"/>
        <rFont val="Arial"/>
        <family val="2"/>
      </rPr>
      <t>0,036</t>
    </r>
    <r>
      <rPr>
        <sz val="11"/>
        <rFont val="Arial"/>
        <family val="2"/>
      </rPr>
      <t xml:space="preserve"> Vollzeitäquivalenten je Pflegebedürftigen des Pflegegrades 5,</t>
    </r>
  </si>
  <si>
    <r>
      <rPr>
        <b/>
        <sz val="11"/>
        <rFont val="Arial"/>
        <family val="2"/>
      </rPr>
      <t>0,025</t>
    </r>
    <r>
      <rPr>
        <sz val="11"/>
        <rFont val="Arial"/>
        <family val="2"/>
      </rPr>
      <t xml:space="preserve"> Vollzeitäquivalenten je Pflegebedürftigen des Pflegegrades 3,</t>
    </r>
  </si>
  <si>
    <t>Die Aufwendungen für das zusätzliche Pflegehilfskraftpersonal wird weder bei der Bemessung</t>
  </si>
  <si>
    <t>Der vereinbarte Vergütungszuschlag wird nicht berechnet, soweit die Pflegeeinrichtung nicht</t>
  </si>
  <si>
    <t>über zusätzliches Pflegehilfskraftpersonal verfügt, das über das nach der Pflegesatzverein-</t>
  </si>
  <si>
    <t>barung gem. § 84 Abs. 5 SGB XI vorzuhaltende Personal hinausgeht.</t>
  </si>
  <si>
    <t>Die Pflegeeinrichtung hält unter Anwendung der unter Nr. 3 genannten Personalschlüssel und</t>
  </si>
  <si>
    <t>im Antrag ausgewiesenen Belegung</t>
  </si>
  <si>
    <t>Pflegehilfskräfte vor.</t>
  </si>
  <si>
    <t>Die Stellen werden zusätzlich zu dem in der Pflegesatzvereinbarung vorzuhaltenden Personal</t>
  </si>
  <si>
    <t>hinaus vorgehalten. Es ist sichergestellt, dass diese Stellen nicht bereits anderweitig refinanziert</t>
  </si>
  <si>
    <t>werden.</t>
  </si>
  <si>
    <t>Bei Leistungen der vollstationären Pflege (§ 43 SGB XI) zahlt die jeweils zuständige Pflegekasse</t>
  </si>
  <si>
    <t>einen Zuschlagsbetrag nach § 84 Abs. 9 SGB XI in Höhe von monatlich</t>
  </si>
  <si>
    <t>durch die zuständige Pflegekasse als Monatspauschale; eine Abrechnung nach Tagen ist aus-</t>
  </si>
  <si>
    <t>unter Berücksichtigung der o. g. Voraussetzungen gezahlt. Sofern der erste Monat der Inan-</t>
  </si>
  <si>
    <t>spruchnahme mit dem Monat des Auszugs oder des Versterbens des Anspruchsberechtigten</t>
  </si>
  <si>
    <t>Bei Leistungen der Kurzzeitpflege ( § 42 SGB XI) oder notwendigen Ersatzpflege (§ 39 SGB XI)</t>
  </si>
  <si>
    <t>Die Zahlung erfolgt im Rahmen der Abrechnung der Leistungen nach § 42 SGB XI. Der kalender-</t>
  </si>
  <si>
    <t>tägliche Zuschlag kann sowohl für den Aufnahme- als auch den Entlasstag abgerechnet wer-</t>
  </si>
  <si>
    <t>den. Im Monat des unmittelbaren Wechsels von der Kurzzeitpflege in die vollstationäre Pflege</t>
  </si>
  <si>
    <t>ist ausschließlich der kalendertägliche Zuschlagsbetrag für die Kurzzeitpflege abrechenbar.</t>
  </si>
  <si>
    <t>9.</t>
  </si>
  <si>
    <t>abgegolten. Ansprüche auf Leistungen der Beihilfe sind entsprechend zu berücksichtigen.</t>
  </si>
  <si>
    <t>10.</t>
  </si>
  <si>
    <t>Die Einhaltung der getroffenen Vereinbarungen kann entsprechend den geltenden Gesetzen ge-</t>
  </si>
  <si>
    <t>prüft werden. § 115 Abs. 3 SGB XI gilt entsprechend.</t>
  </si>
  <si>
    <t>11.</t>
  </si>
  <si>
    <t>durch die Pflichtverletzung entstandene Schaden gegenüber der Pflegekasse auszugleichen. Über</t>
  </si>
  <si>
    <t>- 9 -</t>
  </si>
  <si>
    <t>Auf Grundlage des § 84 Abs. 9 SGB XI hält die Pflegeeinrichtung zusätzlich zu der in § 5 der</t>
  </si>
  <si>
    <t>Vereinbarung gemäß §§ 84, 85 und § 87 SGB XI über die Leistung, Qualität sowie Vergütung</t>
  </si>
  <si>
    <t>der Leistungen der vollstationären Pflege und der Kurzzeitpflege vereinbarten personellen Aus-</t>
  </si>
  <si>
    <t>stattung für die Unterstützung der Leistungserbringung zusätzliches Pflegehilfskraftpersonal</t>
  </si>
  <si>
    <t>Mit dieser Vereinbarung verpflichtet sich die Pflegeeinrichtung folgende Grundsätze einzuhalten:</t>
  </si>
  <si>
    <t>und im Antrag ausgewiesenen Belegung</t>
  </si>
  <si>
    <t>Die Pflegeeinrichtung hält unter Anwendung der unter § 2 Abs. 2 genannten Personalschlüssel</t>
  </si>
  <si>
    <t>die Schadensregulierung ist zwischen den Vertragspartnern Einvernehmen anzustreben.</t>
  </si>
  <si>
    <t>- 3 -</t>
  </si>
  <si>
    <t>a) das über eine abgeschlossene, landesrechtlich geregelte Assistenz- oder Helferausbildung</t>
  </si>
  <si>
    <t xml:space="preserve">    in der Pflege mit einer Ausbildungsdauer von mindestens einem Jahr verfügt oder,</t>
  </si>
  <si>
    <t xml:space="preserve">    Arbeits- und Sozialministerkonferenz 2012 und von der Gesundheitsministerkonferenz 2013</t>
  </si>
  <si>
    <t xml:space="preserve">    den Ausbildungen zu Assistenz- und Helferberufen in der Pflege" (BAnz AT 17.02.2016 B3)</t>
  </si>
  <si>
    <r>
      <rPr>
        <b/>
        <sz val="11"/>
        <rFont val="Arial"/>
        <family val="2"/>
      </rPr>
      <t>0,032</t>
    </r>
    <r>
      <rPr>
        <sz val="11"/>
        <rFont val="Arial"/>
        <family val="2"/>
      </rPr>
      <t xml:space="preserve"> Vollzeitäquivalenten je Pflegebedürftigen des Pflegegrades 4 und</t>
    </r>
  </si>
  <si>
    <t>der Pflegesätze noch bei den Zusatzleistungen nach § 88 berücksichtigt.</t>
  </si>
  <si>
    <t>geschlossen. Eine Vergütung im ersten Monat der Inanspruchnahme findet nicht statt, im</t>
  </si>
  <si>
    <t>Für den anschließenden Zeitraum für Leistungen der vollstationären Pflege gilt Ziffer 7.</t>
  </si>
  <si>
    <t>Sollten einzelne vertraglich vereinbarte Leistungen nicht nachweislich erbracht werden, so ist der</t>
  </si>
  <si>
    <t>Die Pflegeeinrichtung verfügt über zusätzliches Pflegehilfskraftpersonal,</t>
  </si>
  <si>
    <t>identisch ist, besteht ein Anspruch auf die Zahlung der Monatspauschale.</t>
  </si>
  <si>
    <t>Ergänzungsvereinbarung</t>
  </si>
  <si>
    <t>der Pflegesätze noch bei den Zusatzleistungen nach § 88 SGB XI berücksichtigt.</t>
  </si>
  <si>
    <t>Ergänzungsvereinbarung mit einer Frist von 6 Wochen zum Monatsende angepasst werden.</t>
  </si>
  <si>
    <t>für zusätzliche Pflegehilfskräfte nach § 84 Abs. 9 SGB XI zur</t>
  </si>
  <si>
    <t>Verbindliche Grundlage für das gesamte Verfahren sind die Festlegungen des GKV-Spitzenver-</t>
  </si>
  <si>
    <t>bandes nach § 85 Abs. 10 SGB XI zur Vereinbarung von Vergütungszuschlägen für zusätzliche</t>
  </si>
  <si>
    <t>Pflegehilfskräfte in vollstationären Pflegeeinrichtungen (Festlegungen Pflegehilfskräfte) in der</t>
  </si>
  <si>
    <t>jeweils gültigen Fassung.</t>
  </si>
  <si>
    <t>Vergütungsgrundsätze</t>
  </si>
  <si>
    <t>Die Pflegeeinrichtung verfügt über zusätzliches, sozialversicherungspflichtiges Pflegehilfskraft-</t>
  </si>
  <si>
    <t>personal,</t>
  </si>
  <si>
    <t>Vergütungszuschläge</t>
  </si>
  <si>
    <t xml:space="preserve">Unter Hinweis auf § 2 Abs. 2 der Festlegungen des GKV-Spitzenverbandes kann diese </t>
  </si>
  <si>
    <t>aktuellen Vereinbarung gemäß §§ 84, 85 und § 87 SGB XI über die Leistung, Qualität sowie Ver-</t>
  </si>
  <si>
    <t>gütung der Leistungen der vollstationären Pflege und der Kurzzeitpflege vereinbarten Laufzeit.</t>
  </si>
  <si>
    <t>Sp 7 / Sp 6</t>
  </si>
  <si>
    <t>Sp 13 / Sp 12</t>
  </si>
  <si>
    <t>Sp 7 + Sp 9</t>
  </si>
  <si>
    <t>Sp 13 + Sp 15</t>
  </si>
  <si>
    <t>Mitteilungs- und Nachweispflichten</t>
  </si>
  <si>
    <t>Der vereinbarte Vergütungszuschlag darf nur abgerechnet werden, soweit die vollstationäre</t>
  </si>
  <si>
    <t>Pflegeeinrichtung über zusätzliches Pflegehilfskraftpersonal verfügt, das über das nach der</t>
  </si>
  <si>
    <t>geht.</t>
  </si>
  <si>
    <t>Pflegesatzvereinbarung gemäß § 84 Abs. 5 Satz 2 SGB XI vorzuhaltende Personal hinaus-</t>
  </si>
  <si>
    <t>Die Abrechnung des vereinbarten Vergütungszuschlages erfolgt - mit Ausnahme von Kurzzeit-</t>
  </si>
  <si>
    <t>nach § 43 SGB XI als Monatspauschale (Umrechnungsfaktor von einem tagesbezogenen Zu-</t>
  </si>
  <si>
    <t>schlag auf einen Monatszuschlag: 30,42) für jede Pflegebedürftige und jeden Pflegebedürftigen</t>
  </si>
  <si>
    <t>in der Einrichtung. Für die erstmalige Auszahlung bedarf es einer initialen Rechnungslegung der</t>
  </si>
  <si>
    <t>Einrichtung; die Rechnungslegung erfolgt mit der Monatsabrechnung für die allgemeinen Pflege-</t>
  </si>
  <si>
    <t>leistungen, ist aber von dieser getrennt und deutlich auszuweisen. Eine erneute Rechnungsle-</t>
  </si>
  <si>
    <t>gung ist grundsätzlich nur bei Veränderungen, insbesondere bei Entfall des Zuschlags aufgrund</t>
  </si>
  <si>
    <t>des Wegfalls der Abrechnungsvoraussetzungen oder Änderung der Höhe des Vergütungszu-</t>
  </si>
  <si>
    <t>schlags, erforderlich. Eine Abwesenheitsregelung findet keine Anwendung. Der Vergütungszu-</t>
  </si>
  <si>
    <t>schlag ist von der jeweils zuständigen Pflegekasse zu tragen und vom jeweils zuständigen pri-</t>
  </si>
  <si>
    <t>vaten Versicherungsunternehmen im Rahmen des vereinbarten Versicherungsschutzes zu er-</t>
  </si>
  <si>
    <t>statten. § 28 Abs. 2 SGB XI ist entsprechend anzuwenden. Pflegebedürftige dürfen mit den Ver-</t>
  </si>
  <si>
    <t>gütungszuschlägen weder ganz noch teilweise belastet werden.</t>
  </si>
  <si>
    <t>der oder des Pflegebedürftigen in die Pflegeeinrichtung folgt, abgerechnet werden. Der Monat,</t>
  </si>
  <si>
    <t>in dem die oder der Pflegebedürftige aus der Einrichtung auszieht, in eine andere Einrichtung</t>
  </si>
  <si>
    <t>unternehmen mit der vollen Monatspauschale vergütet. So wird sichergestellt, dass die Einrich-</t>
  </si>
  <si>
    <t>tung bei Neubelegung eines Pflegeplatzes innerhalb eines Monats die Pauschale einmal, aber</t>
  </si>
  <si>
    <t>in der Regel nicht doppelt abrechnen kann. Sofern der Monat des Einzugs mit dem Monats des</t>
  </si>
  <si>
    <t>Auszugs oder des Versterbens der oder des Pflegebedürftigen identisch ist, besteht ein Anspruch</t>
  </si>
  <si>
    <t>auf die Zahlung der Monatspauschale, sofern die oder der Pflegebedürftige tatsächlich Leisungen</t>
  </si>
  <si>
    <t>nach § 43 SGB XI in Anspruch genommen hat.</t>
  </si>
  <si>
    <t>Bei Leistungen der Kurzzeitpflege (§ 42 SGB XI) oder Verhinderungspflege (§ 39 SGB XI) erfolgt</t>
  </si>
  <si>
    <t>eine taggenaue Abrechnung für die tatsächlichen Leistungstage (Umrechnungsdivisor vom monat-</t>
  </si>
  <si>
    <t>kann sowohl für den Aufnahme- als auch den Entlassungstag abgerechnet werden. Der Vergütungs-</t>
  </si>
  <si>
    <t>zuschlag kann bei Kurzzeitpflege auch dann abgerechnet werden, wenn der Leistungsbetrag oder</t>
  </si>
  <si>
    <t>die Leistungstage der Kurzzeitpflege oder auch der Übertrag der Verhinderungspflege bereits aus-</t>
  </si>
  <si>
    <t>geschöpft sind. Im Monat des unmittelbaren Wechsels von der Kurzzeitpflege in die vollstationäre</t>
  </si>
  <si>
    <t>Langzeitpflege nach § 43 SGB XI ist ausschließlich der tagesbezogene Vergütungszuschlag für die</t>
  </si>
  <si>
    <t>Kurzzeitpflege abrechenbar.</t>
  </si>
  <si>
    <t>Für den anschließenden Zeitraum, in dem Leistungen der vollstationären Pflege nach § 43 SGB XI</t>
  </si>
  <si>
    <t>erbracht werden, gelten die Absätze 2 und 3.</t>
  </si>
  <si>
    <t>(1)</t>
  </si>
  <si>
    <t>(2)</t>
  </si>
  <si>
    <t>(3)</t>
  </si>
  <si>
    <t>(4)</t>
  </si>
  <si>
    <t>Die Monatspauschale nach Absatz 2 kann erst ab dem Monat, der auf den Monat des Einzugs</t>
  </si>
  <si>
    <t>Bei Leistungen der Kurzzeitpflege (§ 42 SGB XI) oder Verhinderungspflege (§ 39 SGB XI)</t>
  </si>
  <si>
    <t>umzieht oder verstirbt, wird hingegen durch die Pflegekasse oder das private Versicherungs-</t>
  </si>
  <si>
    <t xml:space="preserve">oder das jeweils zuständige private Versicherungsunternehmen einen Zuschlagsbetrag nach § 84 </t>
  </si>
  <si>
    <t>Abs. 9 SGB XI in Höhe von monatlich</t>
  </si>
  <si>
    <t>zahlt die jeweils zuständige Pflegekasse oder das jeweils zuständige private Versicherungs-</t>
  </si>
  <si>
    <t>unternehmen den Zuschlagsbetrag in Höhe von kalendertäglich</t>
  </si>
  <si>
    <t>lichen Zuschlag auf tagesbezogenen Zuschlag: 30,42). Der tagesbezogene Vergütungszuschlag</t>
  </si>
  <si>
    <t>beigefügt erhalten Sie zwei Ausfertigungen der Ergänzungsvereinbarung für zusätzlich Pflegehilfs-</t>
  </si>
  <si>
    <t>und § 87 SGB XI.</t>
  </si>
  <si>
    <t>Ein Original wurde bereits von uns unterzeichnet. Bitte unterzeichnen auch Sie die Verein-</t>
  </si>
  <si>
    <t>Nachfolgend bestätigen wir Ihnen die abgestimmten Vergütungszuschläge für die Laufzeit der</t>
  </si>
  <si>
    <t>kalendertäglich</t>
  </si>
  <si>
    <t>Dieses Schreiben gilt zugleich als Nachweis gegenüber der jeweils zuständigen Pflegekasse und des jeweils</t>
  </si>
  <si>
    <t>zuständigen privaten Versicherungsunternehmens.</t>
  </si>
  <si>
    <t>Ergänzungsvereinbarung für zusätzliche Pflegehilfskraftstellen nach § 84 Abs. 9 SGB XI</t>
  </si>
  <si>
    <t>kraftstellen nach § 84 Abs. 9 SGB XI zur aktuellen Vergütungsvereinbarung gemäß §§ 84, 85</t>
  </si>
  <si>
    <t>barungen und senden uns eine Ausfertigung für unsere Unterlagen zurück.</t>
  </si>
  <si>
    <t>Ergänzungsvereinbarung vom</t>
  </si>
  <si>
    <r>
      <t xml:space="preserve">    in der Pflege mit einer Ausbildungsdauer von mindestens einem Jahr verfügt oder</t>
    </r>
    <r>
      <rPr>
        <strike/>
        <sz val="11"/>
        <color rgb="FFFF0000"/>
        <rFont val="Arial"/>
        <family val="2"/>
      </rPr>
      <t>,</t>
    </r>
  </si>
  <si>
    <r>
      <rPr>
        <b/>
        <sz val="11"/>
        <color theme="1"/>
        <rFont val="Arial"/>
        <family val="2"/>
      </rPr>
      <t>Pflegekasse bei der AOK N</t>
    </r>
    <r>
      <rPr>
        <b/>
        <sz val="9"/>
        <color theme="1"/>
        <rFont val="Arial"/>
        <family val="2"/>
      </rPr>
      <t>ORD</t>
    </r>
    <r>
      <rPr>
        <b/>
        <sz val="11"/>
        <color theme="1"/>
        <rFont val="Arial"/>
        <family val="2"/>
      </rPr>
      <t>W</t>
    </r>
    <r>
      <rPr>
        <b/>
        <sz val="9"/>
        <color theme="1"/>
        <rFont val="Arial"/>
        <family val="2"/>
      </rPr>
      <t>EST</t>
    </r>
    <r>
      <rPr>
        <b/>
        <sz val="11"/>
        <color theme="1"/>
        <rFont val="Arial"/>
        <family val="2"/>
      </rPr>
      <t xml:space="preserve"> - Die Gesu</t>
    </r>
    <r>
      <rPr>
        <b/>
        <sz val="11"/>
        <rFont val="Arial"/>
        <family val="2"/>
      </rPr>
      <t>ndheitskasse</t>
    </r>
  </si>
  <si>
    <t>und Verhinderungspflege nach Absatz 5 im Rahmen der laufenden Abrechnung der Leistungen</t>
  </si>
  <si>
    <t>VV84 9</t>
  </si>
  <si>
    <t>Struktur integriert</t>
  </si>
  <si>
    <t>des GKV-Spitzenverbandes nach § 85 Abs. 10 SGB XI zur Vereinbarung von Vergütungszu-</t>
  </si>
  <si>
    <t>schlägen für zusätzliche Pflegehilfskräfte in vollstationären Pflegeeinrichtungen (Festlegungen</t>
  </si>
  <si>
    <r>
      <t xml:space="preserve">hinaus vorgehalten. Pflegehilfskräfte gelten als zusätzlich im Sinne von </t>
    </r>
    <r>
      <rPr>
        <i/>
        <sz val="11"/>
        <rFont val="Arial"/>
        <family val="2"/>
      </rPr>
      <t>Ziffer 2 der Festlegungen</t>
    </r>
  </si>
  <si>
    <r>
      <rPr>
        <i/>
        <sz val="11"/>
        <rFont val="Arial"/>
        <family val="2"/>
      </rPr>
      <t>Pflegehilfskräfte)</t>
    </r>
    <r>
      <rPr>
        <sz val="11"/>
        <rFont val="Arial"/>
        <family val="2"/>
      </rPr>
      <t xml:space="preserve">, soweit die vollstationäre Pflegeeinrichtung diese zusätzlich zu dem nach der </t>
    </r>
  </si>
  <si>
    <t>Pflegesatzvereinbarung gemäß § 84 Abs. 5 Satz 2 Nr. 2 SGB XI vorzuhaltenden Personal sozial-</t>
  </si>
  <si>
    <t xml:space="preserve">versicherungspflichtig beschäftigt. </t>
  </si>
  <si>
    <t>Der Pflegeeinrichtungsträger hat alle wesentlichen Änderungen, die sich auf den Anspruch bzw.</t>
  </si>
  <si>
    <t>auf die Höhe des Zuschlags auswirken, unverzüglich den an der Vergütungszuschlags-Vereinbarung</t>
  </si>
  <si>
    <t>beteilgten Kostenträgern mitzuteilen. Dies umfasst auch die Situation, wenn die Zusätzlichkeit des</t>
  </si>
  <si>
    <t>Personals im Sinne von Ziffer 2 Absatz 3 der Festlegungen Pflegehilfskräfte nicht mehr gegeben ist.</t>
  </si>
  <si>
    <t>zusätzliche
Pflegehilfs-
kraftstellen pro Bewohner</t>
  </si>
  <si>
    <t>zusätzliche  Pflegehilfskraftstellen 
(VZÄ) gesamt</t>
  </si>
  <si>
    <t>Zeilen 131 - 136</t>
  </si>
  <si>
    <t>Zeilen 204 - 207</t>
  </si>
  <si>
    <t>Zeile 201</t>
  </si>
  <si>
    <t>Zeile 213</t>
  </si>
  <si>
    <t>Zeilen 115 - 124</t>
  </si>
  <si>
    <t>§ 3 Abs. 1 redaktionell geändert (entsprechend Festlegungen Pflegehilfskräfte des GKV-SpiV; Ziffer 2 Abs. 3)</t>
  </si>
  <si>
    <t xml:space="preserve">§ 4 redaktionell geändert (entsprechend Festlegungen Pflegehilfskräfte des GKV SpiV; Ziffer 6 Abs. 2) </t>
  </si>
  <si>
    <t>§§ Reihenfolge angepasst - von § 5 geändert in § 4</t>
  </si>
  <si>
    <t>§§ Reihenfolge angepasst - von § 6 geändert in § 5</t>
  </si>
  <si>
    <t>Azubi Pflegefachassistenz</t>
  </si>
  <si>
    <t>Zeile 87</t>
  </si>
  <si>
    <t>Zeile 88</t>
  </si>
  <si>
    <t>Aufnahme Azubi Pflegefachassistenz / Stellenanteile</t>
  </si>
  <si>
    <t>Aufnahme Azubi Pflegefachassistenz / Kosten</t>
  </si>
  <si>
    <t>Moorkamp/Vehlow</t>
  </si>
  <si>
    <t>Auszubildende Pflegefachassistenz</t>
  </si>
  <si>
    <t>Zeilen 30-32</t>
  </si>
  <si>
    <t>Aufnahme Azubi Pflegefachassistenz / Stellenanteile + Kosten</t>
  </si>
  <si>
    <t>Zeile 26</t>
  </si>
  <si>
    <t>§ 6 neue Ziffer 1.6 Refinanzierung Ausbildungsvergütung nach PflfachassAPrV NRW</t>
  </si>
  <si>
    <t>Zeilen 246 - 255</t>
  </si>
  <si>
    <t>inklusive Verknüpfung zum Tabellenblatt Ergebnis Zellen E 26 (VK-Anteil) und H 26 (€-Wert)</t>
  </si>
  <si>
    <t>Zellen E 119 - E 123</t>
  </si>
  <si>
    <t>Formeln hinterlegt; diese können überschrieben werden</t>
  </si>
  <si>
    <t>Scheller/Moorkamp/Vehlow</t>
  </si>
  <si>
    <t>Hinweis</t>
  </si>
  <si>
    <t>Berücksichtigungsfähige Personalaufwendungen gemäß Punkt 2.2 der Festlegungen des GKV-Spitzenverbandes</t>
  </si>
  <si>
    <t xml:space="preserve">nach § 85 Abs. 10 SGB XI zur Vereinbarung von Vergütungszuschlägen für zusätzliche Pflegehilfskräfte in </t>
  </si>
  <si>
    <t>vollstationären Einrichtungen (Festlegungen Pflegehilfskräfte)</t>
  </si>
  <si>
    <t xml:space="preserve">Die Trägerin / Der Träger versichert mit ihrer / seiner Unterschrift, dass die </t>
  </si>
  <si>
    <t>hier gemachten Angaben richtig sind und im Einklang mit den Festlegungen</t>
  </si>
  <si>
    <t>gem. § 85. Abs. 10 SGB XI stehen.</t>
  </si>
  <si>
    <t>84 9 Nachweis</t>
  </si>
  <si>
    <t>Zellen B44 - B47</t>
  </si>
  <si>
    <t xml:space="preserve">Fußnote redaktionell an die Gemeinsamen Festlegungen Pflegehilfskräfte angepasst </t>
  </si>
  <si>
    <t>Zellen O44 - O46</t>
  </si>
  <si>
    <t>Angaben zur Richtigkeit der Daten eingepflegt</t>
  </si>
  <si>
    <t>Hinweis zur Belegungsstruktur eingepflegt</t>
  </si>
  <si>
    <t>Hinweis eingepflegt</t>
  </si>
  <si>
    <t>Vergleich mit den Forderungen</t>
  </si>
  <si>
    <t>laut Gem. Nachweis</t>
  </si>
  <si>
    <t>Personal- und Sachkosten</t>
  </si>
  <si>
    <t>Nachweis</t>
  </si>
  <si>
    <t>Pflege:</t>
  </si>
  <si>
    <t>Leitung/Ver-waltung:</t>
  </si>
  <si>
    <t>Pforte/ Hausmeister</t>
  </si>
  <si>
    <t>Verw.dienst gesamt</t>
  </si>
  <si>
    <t>Wirtsch.-dienst ges.</t>
  </si>
  <si>
    <t>€ /Bt</t>
  </si>
  <si>
    <t>AZUBI Pflegefachassistenz</t>
  </si>
  <si>
    <t>Zelle E84</t>
  </si>
  <si>
    <t>Formelfehler korrigiert (statt E63 muss es E66 lauten)</t>
  </si>
  <si>
    <t>Vehlow/Finke</t>
  </si>
  <si>
    <t>Zeilen 86-88</t>
  </si>
  <si>
    <t>Aufnahme Azubi Pflegefachassistenz; Stellenanteile + Kosten + Durchschnitt</t>
  </si>
  <si>
    <t>Zelle B93</t>
  </si>
  <si>
    <t>Formel angepasst</t>
  </si>
  <si>
    <t>zu Sp 12</t>
  </si>
  <si>
    <t>Zelle C12</t>
  </si>
  <si>
    <t>Text analog Copy&amp;paste eingefügt</t>
  </si>
  <si>
    <t>Zelle O10</t>
  </si>
  <si>
    <t>redaktionell geändert; statt Hinweis auf Spalte 5 =&gt; Verweis auf Spalte 12</t>
  </si>
  <si>
    <t>Text analog copy&amp;paste eingefügt</t>
  </si>
  <si>
    <t>Zelle B65</t>
  </si>
  <si>
    <t xml:space="preserve">Bezug für den Stellenanteil Leitung korrigiert =&gt; korrekt ist der Bezug zum Tabellenblatt Ergebnis Zelle E19 </t>
  </si>
  <si>
    <t>Vehlow/Stoltefuß</t>
  </si>
  <si>
    <t>Zelle B66</t>
  </si>
  <si>
    <t>Bezug für den Stellenanteil Verw. Korrigiert =&gt; korrekt ist der Bezug zum Tabellenblatt Ergebnis Zelle E 20</t>
  </si>
  <si>
    <t>Vehlow/Fernim</t>
  </si>
  <si>
    <t>Zelle F84</t>
  </si>
  <si>
    <t>Formelfehler korrigiert (statt F63 muss es F66 lauten)</t>
  </si>
  <si>
    <t>Vorab</t>
  </si>
  <si>
    <t>neues AOK LOGO aufgenommen</t>
  </si>
  <si>
    <t>Pflege-
grad</t>
  </si>
  <si>
    <t>Personal-
schlüssel</t>
  </si>
  <si>
    <t>Anzahl Bewohner
im prospektiven
Vergütungszeitraum</t>
  </si>
  <si>
    <t>Altenpflegehelferin</t>
  </si>
  <si>
    <t>maximal finanzierbare 
Stellen nach 
§ 84 Abs. 9 SGB XI</t>
  </si>
  <si>
    <t xml:space="preserve">Anzahl Bewohner 
im prospektiven 
Vergütungszeitraum </t>
  </si>
  <si>
    <t>Durchschnitts-
belegung in %</t>
  </si>
  <si>
    <t>Durchschnitts-
belegung in Zahlen</t>
  </si>
  <si>
    <t xml:space="preserve">Belegungsstruktur Vereinbarungszeitraum </t>
  </si>
  <si>
    <t>prosp. Belegung</t>
  </si>
  <si>
    <t>Auslast.-Grad</t>
  </si>
  <si>
    <t>Abwesen-
heitsquote</t>
  </si>
  <si>
    <t>Durchschn.-
belegung</t>
  </si>
  <si>
    <t>schlüssel</t>
  </si>
  <si>
    <t>Personal-</t>
  </si>
  <si>
    <t>§ 84 (9)</t>
  </si>
  <si>
    <t>überarbeitet</t>
  </si>
  <si>
    <t xml:space="preserve">VV 84 9 </t>
  </si>
  <si>
    <t>Zellenblock H63 - L 71</t>
  </si>
  <si>
    <t>Eingabemöglichkeit für prospektive Belegungsstruktur § 84 Abs. 9 SGB XI hinterlegt</t>
  </si>
  <si>
    <t>Zellenblock J29 - P38</t>
  </si>
  <si>
    <t>Übertragung prospektive Belegungsstruktur § 84 Abs. 9 SGB XI in Tabellenblatt Belegung</t>
  </si>
  <si>
    <t xml:space="preserve">Überführung Übergangsregelung in Regelverfahren mit Darstellung der Belegungsstruktur </t>
  </si>
  <si>
    <t>inkl. Nebenrechnung</t>
  </si>
  <si>
    <t>Netto-Auslastung</t>
  </si>
  <si>
    <t>ohne Abwesenheit</t>
  </si>
  <si>
    <r>
      <t xml:space="preserve">Durchschnitts-belegung </t>
    </r>
    <r>
      <rPr>
        <b/>
        <u/>
        <sz val="12"/>
        <color rgb="FFFF0000"/>
        <rFont val="Calibri"/>
        <family val="2"/>
      </rPr>
      <t>(netto)</t>
    </r>
    <r>
      <rPr>
        <b/>
        <sz val="12"/>
        <rFont val="Calibri"/>
        <family val="2"/>
      </rPr>
      <t xml:space="preserve"> für
Ergänzungs-
vereinbarung</t>
    </r>
  </si>
  <si>
    <t>mit Abwesenheit</t>
  </si>
  <si>
    <t>Durchschnittsbelegung laut Antrag</t>
  </si>
  <si>
    <t>Durchschnittsbelegung NETTO 
normierte Auslastung</t>
  </si>
  <si>
    <t>Belegungsdaten + Personalschlüssel - Vergütungszuschlag § 84 Abs. 9 SGB XI</t>
  </si>
  <si>
    <t>Nebenrechnung Kostenträger</t>
  </si>
  <si>
    <r>
      <t>Regelverfahren für den prospektiven Vergütungszeitraum (</t>
    </r>
    <r>
      <rPr>
        <b/>
        <u/>
        <sz val="16"/>
        <rFont val="Calibri"/>
        <family val="2"/>
      </rPr>
      <t>keine Stichtagsbetrachtung!</t>
    </r>
    <r>
      <rPr>
        <b/>
        <sz val="16"/>
        <rFont val="Calibri"/>
        <family val="2"/>
      </rPr>
      <t>)</t>
    </r>
  </si>
  <si>
    <t xml:space="preserve">Anzahl der Bewohner/innen  </t>
  </si>
  <si>
    <t>§ 3 -  Struktur - Überschrift (ohne Stichtag!, weil Regelverfahren) + Verknüpfung überarbeitet</t>
  </si>
  <si>
    <t>max. 
VK-Stellen</t>
  </si>
  <si>
    <t>Ausbildung Pflegefachassistenz</t>
  </si>
  <si>
    <t>Sofern keine Ausbildung zur Pflegefachassistenz stattfindet (Ergebnisblatt E26 = 0) wird der Text nicht mehr angezeigt</t>
  </si>
  <si>
    <t>Zellen F 59+F60</t>
  </si>
  <si>
    <t>GPOS entfernt (wird nicht zeitnah in Datenaustausch eingeführt)</t>
  </si>
  <si>
    <t>Zeile B</t>
  </si>
  <si>
    <t>Version 2022</t>
  </si>
  <si>
    <t>Gesamtpersonalmenge</t>
  </si>
  <si>
    <t>zzgl. Berater nach § 132g SGB V</t>
  </si>
  <si>
    <t>zzgl. PHK nach § 84 (9) SGB XI</t>
  </si>
  <si>
    <t>zzgl. Mehrpersonal zur Fix-Flex-Regelung KzP</t>
  </si>
  <si>
    <t>zutreffendenfalls</t>
  </si>
  <si>
    <t>zzgl. PFK Förderprogramm nach § 8 (6) SGB XI</t>
  </si>
  <si>
    <t>einschließlich  PSG II-Zuschlag</t>
  </si>
  <si>
    <t xml:space="preserve">errechnete Personalmenge </t>
  </si>
  <si>
    <t>um Auslastungsgrad korrigiert:</t>
  </si>
  <si>
    <t>vereinbarter Auslastungsgrad</t>
  </si>
  <si>
    <t>PSG-II-Zuschlag</t>
  </si>
  <si>
    <t>Personal-menge</t>
  </si>
  <si>
    <t>Eingabe: Belegungs-struktur</t>
  </si>
  <si>
    <t>Richtwerte
individuell</t>
  </si>
  <si>
    <r>
      <rPr>
        <b/>
        <sz val="11"/>
        <rFont val="Arial"/>
        <family val="2"/>
      </rPr>
      <t xml:space="preserve">*) </t>
    </r>
    <r>
      <rPr>
        <sz val="10"/>
        <rFont val="Arial"/>
        <family val="2"/>
      </rPr>
      <t>ggf. überschreiben, falls abweichend vom Versorgungsvertrag</t>
    </r>
  </si>
  <si>
    <t>aktuelle Platzzahl *)</t>
  </si>
  <si>
    <r>
      <t xml:space="preserve">Hiernach errechnete Personalmenge </t>
    </r>
    <r>
      <rPr>
        <b/>
        <u/>
        <sz val="12"/>
        <rFont val="Arial"/>
        <family val="2"/>
      </rPr>
      <t>lt. einzugebender Belegungsstruktur</t>
    </r>
  </si>
  <si>
    <t>Personal-menge
je 1 Bew.</t>
  </si>
  <si>
    <t>Richtwerte  
§ 92c SGB XI</t>
  </si>
  <si>
    <r>
      <t>abgeleitete Personal-</t>
    </r>
    <r>
      <rPr>
        <b/>
        <u/>
        <sz val="12"/>
        <rFont val="Arial"/>
        <family val="2"/>
      </rPr>
      <t>Richtwerte für den Vereinbarungszeitraum</t>
    </r>
  </si>
  <si>
    <t>Bezugsgröße (="Bestandsschutz" lt. Ziff. 3.2 der Überleitungsvereinbarung vom 14.06.2016)</t>
  </si>
  <si>
    <t>Bezugsgröße (100%):</t>
  </si>
  <si>
    <r>
      <t xml:space="preserve">Diff. zur Bezugsgröße ergibt: </t>
    </r>
    <r>
      <rPr>
        <u/>
        <sz val="12"/>
        <rFont val="Arial"/>
        <family val="2"/>
      </rPr>
      <t>individ</t>
    </r>
    <r>
      <rPr>
        <sz val="12"/>
        <rFont val="Arial"/>
        <family val="2"/>
      </rPr>
      <t>. Zuschlag(+)/ Abschlag(-):</t>
    </r>
  </si>
  <si>
    <t>Summe:</t>
  </si>
  <si>
    <t>Personalmenge 
lt. Richtwert</t>
  </si>
  <si>
    <t>Belegung
[vgl. oben 1)]</t>
  </si>
  <si>
    <t>Personalmenge 
je 1  Bewohner</t>
  </si>
  <si>
    <t>(=PSG II-Zuschlag)</t>
  </si>
  <si>
    <t xml:space="preserve">  &gt;&gt;&gt;&gt;&gt;</t>
  </si>
  <si>
    <t>3.3</t>
  </si>
  <si>
    <t>Bezugsgröße</t>
  </si>
  <si>
    <t>3.2</t>
  </si>
  <si>
    <t>(siehe  oben, Nr. 2.3)</t>
  </si>
  <si>
    <t>3.1</t>
  </si>
  <si>
    <t>Personal nach Ziffer 2. Abs. 1 der Überleitungsvereinbarung vom 14.06.2016</t>
  </si>
  <si>
    <t>2.3</t>
  </si>
  <si>
    <t>Pflegehilfskräfte</t>
  </si>
  <si>
    <t>2.2</t>
  </si>
  <si>
    <t>Pflegefachkräfte</t>
  </si>
  <si>
    <t>2.1</t>
  </si>
  <si>
    <t>Personalmenge im Funktionsbereich "Pflege" gem. Vergütungsvereinbarung § 5 bzw. § 5b</t>
  </si>
  <si>
    <t>Auslastung (netto)</t>
  </si>
  <si>
    <t>Summe (Bew.):</t>
  </si>
  <si>
    <t>Belegungsstruktur nach Pflegegraden gem. Vergütungsvereinbarung § 3
bzw. § 3b</t>
  </si>
  <si>
    <t>1.)</t>
  </si>
  <si>
    <t>aktuell gültige Vergütungsvereinbarung</t>
  </si>
  <si>
    <r>
      <rPr>
        <sz val="12"/>
        <rFont val="Wingdings"/>
        <charset val="2"/>
      </rPr>
      <t>è</t>
    </r>
    <r>
      <rPr>
        <sz val="12"/>
        <rFont val="Arial"/>
        <family val="2"/>
      </rPr>
      <t xml:space="preserve">  </t>
    </r>
  </si>
  <si>
    <t>Notwendige Unterlagen für die Ermittlung:</t>
  </si>
  <si>
    <t>Einrichtung:</t>
  </si>
  <si>
    <t>Platzzahl:</t>
  </si>
  <si>
    <t>Ermittlung der Personalmenge bei Belegungsstrukturveränderungen</t>
  </si>
  <si>
    <t>2022_2</t>
  </si>
  <si>
    <r>
      <t>Personalmenge lt. Nachweis</t>
    </r>
    <r>
      <rPr>
        <u/>
        <sz val="12"/>
        <color theme="1"/>
        <rFont val="Arial"/>
        <family val="2"/>
      </rPr>
      <t>en</t>
    </r>
  </si>
  <si>
    <t>ggf. auch Nachweis § 84 (9) berücksichtigen + § 8 (6) prüfen, da extrabudgetär!</t>
  </si>
  <si>
    <t>Vorgang aus Datei "Offene Verhandlungen" austragen</t>
  </si>
  <si>
    <t>14.)</t>
  </si>
  <si>
    <t>vereinbarung für zusätzliche Pflegehilfskräfte nach § 84 Abs. 9 SGB XI, die Bestandteil dieser</t>
  </si>
  <si>
    <t>Pflegesatzvereinbarung ist.</t>
  </si>
  <si>
    <t>Die Höhe der Vergütungszuschläge nach § 84 Abs. 9 SGB XI richtet sich nach der Ergänzungs-</t>
  </si>
  <si>
    <t>Zeilen 390 - 392</t>
  </si>
  <si>
    <t>Textergänzung zu § 84 Abs. 9 SGB XI</t>
  </si>
  <si>
    <t>Vergütungsvereinbarungen ausgefertigt am:</t>
  </si>
  <si>
    <t>Kontaktliste ergänzt</t>
  </si>
  <si>
    <t>DB</t>
  </si>
  <si>
    <t>Formel geändert</t>
  </si>
  <si>
    <t>Zellen BU4 + DP4</t>
  </si>
  <si>
    <t>Unabhängig von Satz 1 endet diese Ergänzungsvereinbarung, ohne dass es einer Kündigung</t>
  </si>
  <si>
    <t>bedarf, mit der nach § 113c SGB XI vorgesehenen Überführung des in dieser Ergänzungsver-</t>
  </si>
  <si>
    <t>einbarung vereinbarten Vergütungszuschlags in die Vereinbarung nach §§ 84, 85 und 87 SGB XI,</t>
  </si>
  <si>
    <t>spätestens am 31.12.2025.</t>
  </si>
  <si>
    <t>Zeilen 220 - 223</t>
  </si>
  <si>
    <t>Textergänzung zum automatischen Ende der Ergänzungsvereinbarung</t>
  </si>
  <si>
    <t>Zellen H6 - H11</t>
  </si>
  <si>
    <t>Formatierung auf drei Nachkommastellen</t>
  </si>
  <si>
    <t>Schade/I. Scheller</t>
  </si>
  <si>
    <t>Zelle N10</t>
  </si>
  <si>
    <t>Einfacher Bezug zu Zelle H11</t>
  </si>
  <si>
    <t>Zelle S40</t>
  </si>
  <si>
    <t>Formeländerung: 'S38/R9*30,42</t>
  </si>
  <si>
    <t>Schade/Bosenius</t>
  </si>
  <si>
    <t>Zelle D9</t>
  </si>
  <si>
    <t>Auswahlfeld "Forderung ... Angebot ... ff" geschaffen</t>
  </si>
  <si>
    <t>aktualisiert</t>
  </si>
  <si>
    <t>Zeile 2</t>
  </si>
  <si>
    <t>Version 2023</t>
  </si>
  <si>
    <t>C19</t>
  </si>
  <si>
    <t>aktualisiert auf 2021</t>
  </si>
  <si>
    <t>Zeile 1</t>
  </si>
  <si>
    <t>Version + Stand des Schemas aktualisiert</t>
  </si>
  <si>
    <t>Zeile 157 - 587</t>
  </si>
  <si>
    <t>Änderung Federführung von Knappschaft zu vdek</t>
  </si>
  <si>
    <t>C5</t>
  </si>
  <si>
    <t>reg. übl. Entgeltniveau</t>
  </si>
  <si>
    <t>zuzüglich des Vergütungszuschlages zur Refinanzierung des Umlagebetrages nach</t>
  </si>
  <si>
    <t>§ 28 Abs. 2 PflBG.</t>
  </si>
  <si>
    <t>Wegfall der APU Altenpflegeausbildungsausgleichverordnung ab 2023; ab 2023 bleibt nur die APU nach PflBG</t>
  </si>
  <si>
    <t>Text redaktionell angepasst</t>
  </si>
  <si>
    <t>D5</t>
  </si>
  <si>
    <t>Text redaktionell an die aktuelle Beschlussfassung des Grundsatzausschusses angepasst (Verlängerung bis 2024)</t>
  </si>
  <si>
    <t xml:space="preserve">Inkrafttreten einer neuen Ergänzungsvereinbarung weiter (§ 85 Abs. 6 SGB XI). </t>
  </si>
  <si>
    <t>84 8 Nachweis</t>
  </si>
  <si>
    <t>Wegfall Text zur APU Altenpflegeausbildungsumlage</t>
  </si>
  <si>
    <t>Vorab PS+KZP fix flex</t>
  </si>
  <si>
    <t>Zusätzlich zu den unter den Ziffern 1.1 und 1.2 ausgewiesenen Pflegesätzen ist ein einricht-</t>
  </si>
  <si>
    <t>tungsindividueller Vergütungszuschlag zur Refinanzierung des Umlagebetrages nach</t>
  </si>
  <si>
    <t>§ 28 Abs. 2 Pflegeberufegesetz (PflBG) i. V. mit § 84 Abs. 1 SGB XI als Bestandteil der</t>
  </si>
  <si>
    <t>Pflegevergütung abrechnungsfähig. Die Höhe des Umlagebetrages wird kalenderjährlich</t>
  </si>
  <si>
    <t>von der Bezirksregierung Münster per Bescheid festgesetzt und der Einrichtung mitgeteilt.</t>
  </si>
  <si>
    <t>In diesem Bescheid ist ein berechnungstäglicher Zuschlagswert ausgewiesen.</t>
  </si>
  <si>
    <t>F6</t>
  </si>
  <si>
    <t>Bezug zu Tabellenblatt Belegung Zelle N31 hergestellt (falls PG 1 mit 0 Tagen ausgewiesen ist)</t>
  </si>
  <si>
    <t>H6-H11</t>
  </si>
  <si>
    <t>3 Dezimalstellen formatiert</t>
  </si>
  <si>
    <t>Auswahl-Liste ergänzt um reg. übl. Entgeltniveau+Tarifanlehnung</t>
  </si>
  <si>
    <t>Zweckgebunden zur Refinanzierung der Ausbildungsvergütung nach dem PflfachassAvG NRW</t>
  </si>
  <si>
    <t>beinhalten die unter Ziffer 1.1 und 1.2 ausgewiesenen Pflegesätze entsprechend § 82a Abs. 2</t>
  </si>
  <si>
    <t xml:space="preserve">SGB XI einen berechnungstäglichen Vergütungsaufschlag in Höhe von </t>
  </si>
  <si>
    <t xml:space="preserve">Bei nachfolgenden Vergütungsverhandlungen haben die Pflegekassen das Recht, die </t>
  </si>
  <si>
    <t>Rechtmäßigkeit dieses Vergütungsaufschlages zu überprüfen und ggf. entstandene</t>
  </si>
  <si>
    <t>Überzahlungen prospektiv auszugleichen.</t>
  </si>
  <si>
    <t>für</t>
  </si>
  <si>
    <t>Zeilen 221-229</t>
  </si>
  <si>
    <t>Punkt 1.4 Pflegefachassistenz wieder aufgenommen</t>
  </si>
  <si>
    <t>individueller Vergütungszuschlag zur Refinanzierung des Umlagebetrages nach</t>
  </si>
  <si>
    <t xml:space="preserve">von der Bezirksregierung Münster per Bescheid festgesetzt und der Einrichtung </t>
  </si>
  <si>
    <t>mitgeteilt. In diesem Bescheid ist ein berechnungstäglicher Zuschlagswert ausgewiesen.</t>
  </si>
  <si>
    <t xml:space="preserve">Zweckgebunden zur Refinanzierung der Ausbildungsvergütung nach dem PflfachassAvG NRW </t>
  </si>
  <si>
    <t xml:space="preserve">beinhalten die unter Ziffer 1.1 ausgewiesenen Pflegesätze entsprechend § 82a Abs. 2 </t>
  </si>
  <si>
    <t>SGB XI einen berechnungstäglichen Vergütungsaufschlag in Höhe von</t>
  </si>
  <si>
    <t>Punkt 1.4 Pflegefachassistenz aufgenommen</t>
  </si>
  <si>
    <t>Zusätzlich zu den unter Ziffer 1.1 und 1.2 ausgewiesenen Pflegesätzen ist ein einrichtungs-</t>
  </si>
  <si>
    <t>Tabellenblatt ausgeblendet</t>
  </si>
  <si>
    <t>Überleitung gem. §113c SGB XI</t>
  </si>
  <si>
    <t>1.1.)</t>
  </si>
  <si>
    <t>Ist-Belegungsstruktur (auf Grundlage der letzten 3 abgeschlossenen Monate)</t>
  </si>
  <si>
    <t>1.2.)</t>
  </si>
  <si>
    <t xml:space="preserve">Ist-Personalmenge im Funktionsbereich "Pflege / Betreuung" </t>
  </si>
  <si>
    <t>Pflegehilfskräfte ohne Ausbildung</t>
  </si>
  <si>
    <t xml:space="preserve">Sozialer Dienst / Fachkräfte </t>
  </si>
  <si>
    <t>PPSG</t>
  </si>
  <si>
    <t>GPVG</t>
  </si>
  <si>
    <t>1.3.)</t>
  </si>
  <si>
    <t>davon besondere Personalbedarfe (z.B. PDL und QB)</t>
  </si>
  <si>
    <t>Menge in VK</t>
  </si>
  <si>
    <t xml:space="preserve">1.5.) </t>
  </si>
  <si>
    <t xml:space="preserve">maximal mögliche Personalmenge nach 113c Abs. 1 SGB XI </t>
  </si>
  <si>
    <t>PG1</t>
  </si>
  <si>
    <t>PG2</t>
  </si>
  <si>
    <t>PG3</t>
  </si>
  <si>
    <t>PG4</t>
  </si>
  <si>
    <t>Schlüssel Pflegehilfskräfte ohne Ausbildung</t>
  </si>
  <si>
    <t>Schlüssel Pflegehilfskräfte mit Ausbildung</t>
  </si>
  <si>
    <t>Schlüssel Pflegefachkräfte</t>
  </si>
  <si>
    <t>VK Menge Pflegehilfskräfte ohne Ausbildung</t>
  </si>
  <si>
    <t>VK Menge Pflegehilfskräfte mit Ausbildung</t>
  </si>
  <si>
    <t>VK Menge Pflegefachkräfte</t>
  </si>
  <si>
    <t xml:space="preserve">VK Menge Gesamt </t>
  </si>
  <si>
    <t>Erreichungsgrad § 113c SGB XI</t>
  </si>
  <si>
    <t>II. Einrichtungsindidviduelle Personalschlüssel gem. §113c SGB XI</t>
  </si>
  <si>
    <t>2.1)</t>
  </si>
  <si>
    <t>Einrichtungsindidviduelle Personalschlüssel</t>
  </si>
  <si>
    <t>prospektiver geplanter Erreichungsgrad (in Prozent)</t>
  </si>
  <si>
    <t>2.2.)</t>
  </si>
  <si>
    <t>vorzuhaltende Schlüssel gem Erreichungsgrad §113c SGB XI</t>
  </si>
  <si>
    <r>
      <t xml:space="preserve">2.3) Umrechnung auf </t>
    </r>
    <r>
      <rPr>
        <b/>
        <u/>
        <sz val="12"/>
        <rFont val="Arial"/>
        <family val="2"/>
      </rPr>
      <t>prospektive</t>
    </r>
    <r>
      <rPr>
        <b/>
        <sz val="12"/>
        <rFont val="Arial"/>
        <family val="2"/>
      </rPr>
      <t xml:space="preserve"> Belegungsstruktur</t>
    </r>
  </si>
  <si>
    <t>Ermittelte Personalmenge gem. Personalschlüssel und prospektiver Belegungstruktur</t>
  </si>
  <si>
    <t xml:space="preserve">III. Überprüfung der Personalmenge Pflege / Betreuung </t>
  </si>
  <si>
    <t>(Mindest-) Erreichungsgrad § 113c SGB XI</t>
  </si>
  <si>
    <r>
      <t xml:space="preserve">Umrechnung auf die zu </t>
    </r>
    <r>
      <rPr>
        <u/>
        <sz val="12"/>
        <rFont val="Arial"/>
        <family val="2"/>
      </rPr>
      <t>prüfende</t>
    </r>
    <r>
      <rPr>
        <sz val="12"/>
        <rFont val="Arial"/>
        <family val="2"/>
      </rPr>
      <t xml:space="preserve"> Belegungsstruktur</t>
    </r>
  </si>
  <si>
    <t>Personalmenge gem. Personalschlüssel und zu prüfender Belegungstruktur</t>
  </si>
  <si>
    <t>Sozialer Dienst /Hilfskräfte ohne Ausbildung</t>
  </si>
  <si>
    <t>Sozialer Dienst /Hilfskräfte mit Ausbildung</t>
  </si>
  <si>
    <t>zzgl. besondere Personalbedarfe (nur bei Erreichungsgrad § 113c SGB XI = 100%)</t>
  </si>
  <si>
    <t>neuer Personalrichtwert § 113c SGB XI:</t>
  </si>
  <si>
    <t>Pflegehilfskräfte mit Ausbildung</t>
  </si>
  <si>
    <t>Pflege/Betreuung Fachkraft (QN 4)</t>
  </si>
  <si>
    <t>Pflege/Betreuung Hilfskraft o. Ausb. (QN 1 &amp; 2)</t>
  </si>
  <si>
    <t>Pflege/Betreuung Hilfskraft m. Ausb. (QN 3)</t>
  </si>
  <si>
    <t>Überleitung</t>
  </si>
  <si>
    <t>Tabellenblatt eingefügt</t>
  </si>
  <si>
    <t>G83:G85</t>
  </si>
  <si>
    <t>Erläuterungen bzgl. abgefragter Aufteilung der prospektiv kalkulierten Personalmenge</t>
  </si>
  <si>
    <t>I16:I18</t>
  </si>
  <si>
    <t>A14:B14</t>
  </si>
  <si>
    <t>Übertrag prospektiver Personalrichtwert § 113c SGB XI vom Tabellenblatt "Überleitung"</t>
  </si>
  <si>
    <t>A23:D25</t>
  </si>
  <si>
    <t>A15</t>
  </si>
  <si>
    <t>Hinweis bei Summe VK Pflege/Betreuung &gt; prospektiver Personalrichtwert § 113c SGB XI</t>
  </si>
  <si>
    <t xml:space="preserve">1.4.) </t>
  </si>
  <si>
    <t>Ist-Personalmenge für Berechnung des Erreichungsgrads § 113c SGB XI</t>
  </si>
  <si>
    <t>Hinsichtlich der VK-Menge bei den Pflegefachkräften ist das Feld "G 103" einzuhalten.Die besonderen Personalbedarfe sind dabei incl zu betrachten.</t>
  </si>
  <si>
    <t>Anpassung Begrifflichkeiten &amp; Formeln (maßgeblich jeweils die Gesamtmenge Pflege/Betreuung)</t>
  </si>
  <si>
    <t>I83:I85</t>
  </si>
  <si>
    <t>Abfrage Durchschnittskosten je QN</t>
  </si>
  <si>
    <t>Die Pflegeeinrichtung hält auf der Basis der in § 3 vereinbarten Struktur eine personelle</t>
  </si>
  <si>
    <t>den drei Qualifikationsgruppen vereinbart:</t>
  </si>
  <si>
    <t>Fachkraftpersonal</t>
  </si>
  <si>
    <t>(Pflegefachkräfte, Fachkräfte aus dem Gesundheits- und Sozialbereich</t>
  </si>
  <si>
    <t>nach § 113c Abs. 1 Nummer 3 SGB XI)</t>
  </si>
  <si>
    <t>Hilfskraftpersonal mit einer Ausbildungsdauer von mindestens</t>
  </si>
  <si>
    <t>einem Jahr</t>
  </si>
  <si>
    <t>(§ 113c Abs. 1 Nummer 2 SGB XI)</t>
  </si>
  <si>
    <t>Hilfskraftpersonal ohne Ausbildung</t>
  </si>
  <si>
    <t>(§ 113c Abs. 1 Nummer 1 SGB XI)</t>
  </si>
  <si>
    <t>Eine Substitution der einzelnen Qualifikationsniveaus ist im Rahmen der gesetzlichen</t>
  </si>
  <si>
    <t>Vorgaben möglich. Im Hinblick auf die mindestens vorzuhaltende Zahl an dreijährig</t>
  </si>
  <si>
    <t>examinierten Fachkräften gilt der Wert, der sich für diese Qualifikationsgruppe bei Anwendung</t>
  </si>
  <si>
    <t>von 80 % der Personalanhaltswerte nach § 113c Abs. 1 SGB XI ergeben würde.</t>
  </si>
  <si>
    <t>Die vorstehende Personalausstattung wurde auf Basis der folgenden, einrichtungsindividuellen</t>
  </si>
  <si>
    <t>Personalanhaltswerte je pflegebedürftige Person ermittelt:</t>
  </si>
  <si>
    <t>Hilfskraftpersonal
ohne Ausbildung</t>
  </si>
  <si>
    <t>Hilfskraftpersonal
mit mindestens
einjähriger Ausbildung</t>
  </si>
  <si>
    <t>im Rahmen der Pflegefachassistenzausbildung zur Verfügung.</t>
  </si>
  <si>
    <t>Bei Veränderung der Belegungsstruktur ist die Ausstattung mit Pflege- und Betreuungs-</t>
  </si>
  <si>
    <t>personal unter Anwendung der vorstehenden Personalanhaltswerte entsprechend anzupassen.</t>
  </si>
  <si>
    <t>der Pflegebedürftigen.</t>
  </si>
  <si>
    <t>Im Übrigen gilt § 84 Abs. 6 SGB XI. Der Träger gewährleistet die angemessene Versorgung</t>
  </si>
  <si>
    <t>Für die Abwesenheit in der Kurzzeitpflege gilt folgende Regelung:</t>
  </si>
  <si>
    <t>Voraussetzung für die Zahlung der Abwesenheitsvergütung ist die tatsächliche Aufnahme</t>
  </si>
  <si>
    <t>bzw. der Antritt der Kurzzeitpflege sowie die tatsächliche Freihaltung des Pflegeplatzes.</t>
  </si>
  <si>
    <t>Änderung der Aufzählung; neuer Punkt 4. Aufnahme einer Regelung für die Abwesenheitsvergütung in der Kurzzeitpflege</t>
  </si>
  <si>
    <t>analog der Empfehlungen zu § 88a SGB XI</t>
  </si>
  <si>
    <t xml:space="preserve">Aufnahme Punkt 4. Regelung für die Abwesenheitsvergütung in der Kurzzeitpflege analog der Empfehlungen zu § 88a </t>
  </si>
  <si>
    <t>Pfl./Betr. QN 4</t>
  </si>
  <si>
    <t>Pfl./Betr. HK QN 3</t>
  </si>
  <si>
    <t>Pfl./Betr. HK QN1&amp;2</t>
  </si>
  <si>
    <t>Zellen I 31-H33</t>
  </si>
  <si>
    <t>Anpassung Begrifflichkeiten (maßgeblich jeweils die Gesamtmenge Pflege/Betreuung)</t>
  </si>
  <si>
    <t>Anpassung Begrifflichkeiten &amp; Formeln (maßgeblich für die personelle Ausstattung § 113c SGB XI)</t>
  </si>
  <si>
    <t xml:space="preserve">vor. Zum Zeitpunkt des Abschlusses der Vergütungsvereinbarung wird folgende Aufteilung nach </t>
  </si>
  <si>
    <t>Version 2023_2</t>
  </si>
  <si>
    <t>A1 + H1</t>
  </si>
  <si>
    <t>Bei einer unvorhergesehenen oder krankheitsbedingten vorübergehenden Abwesenheit im</t>
  </si>
  <si>
    <t>Rahmen der Kurzzeitpflege wird der Kurzzeitpflegeplatz bis zum dritten Tag der Abwesen-</t>
  </si>
  <si>
    <t>heit des Pflegebedürftigen von der Pflegekasse ohne Abschläge vergütet. Die Vergütung</t>
  </si>
  <si>
    <t>§ 42 Abs. 2 SGB XI.</t>
  </si>
  <si>
    <t xml:space="preserve">der Pflegekasse erfolgt bis zur festgelegten Höhe des Leistungsbetrages gemäß </t>
  </si>
  <si>
    <t>VV+VV KZP fix flex+VV KzP WTG-Erlasse</t>
  </si>
  <si>
    <t>Formulierung zur Abwesenheit in der Kurzzeitpflege in den jeweiligen §§ 6 bzw. 4 angepasst</t>
  </si>
  <si>
    <t>Inflationsausgleichsprämie</t>
  </si>
  <si>
    <t>∑</t>
  </si>
  <si>
    <r>
      <t xml:space="preserve">Inflationsausgleichsprämie für das </t>
    </r>
    <r>
      <rPr>
        <b/>
        <u/>
        <sz val="10"/>
        <rFont val="Arial"/>
        <family val="2"/>
      </rPr>
      <t>trägereigene</t>
    </r>
    <r>
      <rPr>
        <b/>
        <sz val="10"/>
        <rFont val="Arial"/>
        <family val="2"/>
      </rPr>
      <t xml:space="preserve"> Personal </t>
    </r>
  </si>
  <si>
    <t>Funktionsdienst</t>
  </si>
  <si>
    <r>
      <t xml:space="preserve">VK </t>
    </r>
    <r>
      <rPr>
        <u/>
        <sz val="10"/>
        <color theme="0"/>
        <rFont val="Arial"/>
        <family val="2"/>
      </rPr>
      <t>eigenes</t>
    </r>
    <r>
      <rPr>
        <sz val="10"/>
        <color theme="0"/>
        <rFont val="Arial"/>
        <family val="2"/>
      </rPr>
      <t xml:space="preserve">
Personal</t>
    </r>
  </si>
  <si>
    <t>Prämie je VK</t>
  </si>
  <si>
    <t xml:space="preserve">Summe </t>
  </si>
  <si>
    <t>Anteil Pflege</t>
  </si>
  <si>
    <t>Anteil U&amp;V</t>
  </si>
  <si>
    <t xml:space="preserve">Pforte </t>
  </si>
  <si>
    <t>Pflege / Betreuung</t>
  </si>
  <si>
    <t>Azubis Pflegefachassistenz</t>
  </si>
  <si>
    <t>ø PK</t>
  </si>
  <si>
    <t>monatlicher Wert</t>
  </si>
  <si>
    <t>Tabellenblatt eingeblendet</t>
  </si>
  <si>
    <t>A46:B56</t>
  </si>
  <si>
    <t>Tabelle zur Berechnung der Inflationsausgleichsprämie eingefügt</t>
  </si>
  <si>
    <t>B32:C34</t>
  </si>
  <si>
    <t>Verteilung der IAP auf Pflege und U&amp;V analog der eingefügten Berechnung</t>
  </si>
  <si>
    <t>A37</t>
  </si>
  <si>
    <t>Umbenennung "Azubis Pflegefachassistenz"</t>
  </si>
  <si>
    <t>I9</t>
  </si>
  <si>
    <t>Formel abgeändert: erst pauschale Fortschreibung des monatl. Pflegebudgets, dann Erhöhung um IAP und Azubis</t>
  </si>
  <si>
    <t>H24</t>
  </si>
  <si>
    <t>Formel abgeändert: erst pauschale Fortschreibung des monatl. Pflegebudgets, dann Erhöhung um IAP</t>
  </si>
  <si>
    <t>J23:J26</t>
  </si>
  <si>
    <t>J29</t>
  </si>
  <si>
    <t>Formel angepasst, Summenbildung ohne J23:J26</t>
  </si>
  <si>
    <t>Eingabemöglichkeit für Stellenanteile PDL &amp; QMB, sofern auf "Überleitung 113c" ein prospektiver Erreichungsgrad &gt;=100% erfasst wird</t>
  </si>
  <si>
    <t>Überleitung 113c</t>
  </si>
  <si>
    <t>G80</t>
  </si>
  <si>
    <t>Formel gelöscht</t>
  </si>
  <si>
    <t>Hinweis bei prospektivem Erreichungsgrad § 113c SGB XI, dass zusätzliche Stellenanteile PDL &amp; QMB vereinbart werden</t>
  </si>
  <si>
    <t>C157</t>
  </si>
  <si>
    <t>Formel angepasst, bei prospektivem Erreichungsgrad § 113c SGB XI werden Stellenanteile PDL &amp; QMB abgezogen</t>
  </si>
  <si>
    <t>Überleitung 113c_Prüfung</t>
  </si>
  <si>
    <t>Tabellenblatt zur Plausibilisierung der Ist-Personalmenge vor Überleitung eingefügt</t>
  </si>
  <si>
    <t xml:space="preserve">I. </t>
  </si>
  <si>
    <t>Personalmenge Pflege / Betreuung nach bisheriger Rechtslage</t>
  </si>
  <si>
    <t xml:space="preserve">Ohne die Umsetzung der Personalbemessung nach § 113c SGB XI wären gemäß Überleitungsregelung nach </t>
  </si>
  <si>
    <t xml:space="preserve">§ 92c SGB XI im Rahmen der Vergütungsverhandlungen weiterhin </t>
  </si>
  <si>
    <t>Pflegedienst</t>
  </si>
  <si>
    <t>Soz. Dienst</t>
  </si>
  <si>
    <t>anerkannt worden - und zwar unabhängig von der tatsächlichen Auslastung der Einrichtung oder eventuellen</t>
  </si>
  <si>
    <t>Verschiebungen in der Belegungsstruktur. Für diese Personalmenge gilt damit weiterhin ein Besitzstand.</t>
  </si>
  <si>
    <t xml:space="preserve">II. </t>
  </si>
  <si>
    <t>Personalmenge Pflege / Betreuung bei Anpassung an die tatsächliche Belegunggstruktur</t>
  </si>
  <si>
    <t xml:space="preserve">Die Kostenträger haben zugesichert, mit der Überleitung sämtliches bereits vorhandenes Pflegepersonal in die </t>
  </si>
  <si>
    <t>Refinanzierung über die Heimentgelte einzustellen. Nach § 113c Abs. 2 SGB XI können dabei auch Personalmengen</t>
  </si>
  <si>
    <t xml:space="preserve">oberhalb der neuen Richtwerte Berücksichtigung finden, sofern dieses personelle Ausstattung bereits vereinbart ist. </t>
  </si>
  <si>
    <t xml:space="preserve">Die Vereinbarungen zur Überleitung nach § 92c SGB XI haben bislang eine Deckelung auf den Besitzstand zum </t>
  </si>
  <si>
    <t xml:space="preserve">31.12.2016 zzgl. 6,8% PSG-II-Zuschlag vorgesehen. Gleichwohl ist es denkbar, dass sich die Belegungsstrukturen </t>
  </si>
  <si>
    <t xml:space="preserve">im Vergleich zum seinerzeitigen Stand verändert haben und eine entsprechende (in den Vergütungsvereinbarungen </t>
  </si>
  <si>
    <t xml:space="preserve">fixierte) Anpassung der Personalmenge erfolgt ist. </t>
  </si>
  <si>
    <t>Diese tatsächliche und im Falle einer Personalmehrung auch über zusätzliche Leistungsbeträge der Pflegever-</t>
  </si>
  <si>
    <t xml:space="preserve">sicherung refinanzierte Menge errechnet sich über das sog. "Johannigmann-Schema". </t>
  </si>
  <si>
    <t>Für die nachgewiesene Ist-Belegung in den letzten 3 abgeschlossenen Monaten vor Verhandlungsaufforderung</t>
  </si>
  <si>
    <t>sind - nach Skalierung auf die prospektiv kalkulierte Auslastung - insgesamt</t>
  </si>
  <si>
    <t>vorzuhalten.</t>
  </si>
  <si>
    <t>Berücksichtigungsfähig wären damit insgesamt:</t>
  </si>
  <si>
    <t>III.</t>
  </si>
  <si>
    <t>Ausgangswert für die Berechnung des Vergleichswerts (Vergleich I. &lt;-&gt; II.)</t>
  </si>
  <si>
    <t xml:space="preserve">Basis für die Bewertung der prospektiv geforderten Personalmenge Pflege &amp; Betreuung ist - bei einer Betrachtung </t>
  </si>
  <si>
    <t>zugunsten der Einrichtung - der höhere der beiden vorgenannten Werte:</t>
  </si>
  <si>
    <t>IV.</t>
  </si>
  <si>
    <t>Erhöhung des Vergleichswerts um die bislang extra-budgetär finanzierten Stellen</t>
  </si>
  <si>
    <t xml:space="preserve">Mit der Überleitung in die Personalbemessung nach § 113c SGB XI sind im Rahmen der Vergütungsverhandlungen </t>
  </si>
  <si>
    <t xml:space="preserve">zusätzlich die Stellenanteile berücksichtigungsfähig, die bislang aus Mitteln der Pflegeversicherung finanziert worden </t>
  </si>
  <si>
    <t>sind - die sog. "Spahn-Stellen" nach § 8 Abs. 6 SGB XI (PPSG) sowie die Hilfskräfte nach § 84 Abs. 9 SGB XI (GPVG).</t>
  </si>
  <si>
    <t>Entsprechend der Angaben auf dem Überleitungsbogen ändert sich der Ausgangswert dadurch wie folgt:</t>
  </si>
  <si>
    <t>Ausgangswert</t>
  </si>
  <si>
    <t>Sie spiegeln die Personalmenge Pflege / Betreuung wider, die nach bisheriger Sach- / Rechtslage für die Ist-Belegung</t>
  </si>
  <si>
    <t xml:space="preserve">in den vergangenen drei Monaten anerkannt werden könnte. </t>
  </si>
  <si>
    <t>Erläuterungen zur Zielwertsuche:</t>
  </si>
  <si>
    <t xml:space="preserve">1) </t>
  </si>
  <si>
    <t>auf das Tabellenblatt "Überleitung 113c" wechseln</t>
  </si>
  <si>
    <t xml:space="preserve">2) </t>
  </si>
  <si>
    <t>Zelle G78 auswählen (= die Zelle, in der die prospektiv kalkulierte Personalmenge steht)</t>
  </si>
  <si>
    <t>Ermittlung des daraus abgeleiteten Erreichungsgrads für den prospektiven Vereinbarungszeitraum</t>
  </si>
  <si>
    <t xml:space="preserve">3) </t>
  </si>
  <si>
    <t>Daten -&gt; Prognose -&gt; Was-wäre-wenn-Analye -&gt; Zielwertsuche…</t>
  </si>
  <si>
    <t>4)</t>
  </si>
  <si>
    <t>Fenster wie folgt ausfüllen &amp; mit OK bestätigen</t>
  </si>
  <si>
    <t xml:space="preserve">Um in Verbindung mit der prospektiv kalkulierten Belegungsstruktur die vorgenannten </t>
  </si>
  <si>
    <t>zu erreichen, müssten die Richtwerte nach § 113c SGB XI in folgender Höhe angepasst werden:</t>
  </si>
  <si>
    <t xml:space="preserve">Dieser Erreichungsgrad ist im Sinne der vorstehenden Plausibilitätsprüfung dem Grunde nach anerkennungsfähig. </t>
  </si>
  <si>
    <t>Ergebnis der Überleitung</t>
  </si>
  <si>
    <t xml:space="preserve">Grundlage für die prospektive Vereinbarung wird eine Personalmenge Pflege &amp; Betreuung i. H. v.  </t>
  </si>
  <si>
    <t xml:space="preserve">und ein Zielerreichungsgrad i. H. v. </t>
  </si>
  <si>
    <t>Hinweise:</t>
  </si>
  <si>
    <t>Dabei wird folgende Zuordnung auf die QN berücksichtigt:</t>
  </si>
  <si>
    <r>
      <t>- "Zielwert" = Obergrenze für das vereinfachte Überleitungsverfahren in VK (</t>
    </r>
    <r>
      <rPr>
        <i/>
        <u/>
        <sz val="10"/>
        <color theme="1"/>
        <rFont val="Calibri"/>
        <family val="2"/>
        <scheme val="minor"/>
      </rPr>
      <t>nicht</t>
    </r>
    <r>
      <rPr>
        <i/>
        <sz val="10"/>
        <color theme="1"/>
        <rFont val="Calibri"/>
        <family val="2"/>
        <scheme val="minor"/>
      </rPr>
      <t xml:space="preserve"> das Wort eintragen)</t>
    </r>
  </si>
  <si>
    <t>- Zelle F59 darf keine Formel enthalten, evtl. also vorher den Bezug auf H52 löschen</t>
  </si>
  <si>
    <t>Fachkraft (QN4)</t>
  </si>
  <si>
    <t xml:space="preserve">(Mindestmenge: </t>
  </si>
  <si>
    <t>Hilfskraft mit Ausbildung (QN3)</t>
  </si>
  <si>
    <t>5)</t>
  </si>
  <si>
    <t>Erfüllungsgrad wird automatisch an die Obergrenze angepasst</t>
  </si>
  <si>
    <t>Hilfskraft ohne Ausbildung (QN1 &amp; 2)</t>
  </si>
  <si>
    <t>6)</t>
  </si>
  <si>
    <t>angepassten Erfüllungsgrad von "Überleitung 113c" hierhin übertragen</t>
  </si>
  <si>
    <t>Erläuterungen:</t>
  </si>
  <si>
    <t>Anlage zum Beschluss des Grundsatzausschusses 16.03.2017 - TOP 3.1.2</t>
  </si>
  <si>
    <t>Ermittlung der Personalmenge bei Belegungsstrukturveränderungen im Rahmen</t>
  </si>
  <si>
    <t>der Ziffer 4 Abs. 2 des Beschlusses des Grundsatzausschusses zur Überleitung 
nach §92c SGB XI vom 14.06.2016</t>
  </si>
  <si>
    <t>NRW (Überleitungsvereinbarung)</t>
  </si>
  <si>
    <t>Belegungsstruktur nach Pflegegraden gem. Vergütungsvereinbarung § 3
bzw. §3b</t>
  </si>
  <si>
    <t>Personalmenge im Funktionsbereich "Pflege" gem. Vergütungsvereinbarung § 5 bzw. §5b</t>
  </si>
  <si>
    <t xml:space="preserve">V. </t>
  </si>
  <si>
    <t>VI.</t>
  </si>
  <si>
    <t>D72:D74</t>
  </si>
  <si>
    <t>Formelbezüge angepasst</t>
  </si>
  <si>
    <t>D152:D156</t>
  </si>
  <si>
    <t>D87:E88</t>
  </si>
  <si>
    <t>Formatierung als Eingabefeld geändert</t>
  </si>
  <si>
    <t>D30:D32</t>
  </si>
  <si>
    <t>Formelbezüge auf Copy &amp; Paste hergestellt</t>
  </si>
  <si>
    <t>Pflegesätze ab 01.01.2025</t>
  </si>
  <si>
    <t>Teil A</t>
  </si>
  <si>
    <t>Regelung bis 31.12.2024</t>
  </si>
  <si>
    <t>1.1 a</t>
  </si>
  <si>
    <t>Teil B</t>
  </si>
  <si>
    <t>Regelung ab 01.01.2025</t>
  </si>
  <si>
    <t>1.1 b</t>
  </si>
  <si>
    <r>
      <t xml:space="preserve">der Aufwendungen für Betreuung beträgt der Pflegesatz </t>
    </r>
    <r>
      <rPr>
        <b/>
        <u/>
        <sz val="11"/>
        <rFont val="Arial"/>
        <family val="2"/>
      </rPr>
      <t>bis zum 31.12.2024</t>
    </r>
    <r>
      <rPr>
        <sz val="11"/>
        <rFont val="Arial"/>
        <family val="2"/>
      </rPr>
      <t xml:space="preserve"> für den</t>
    </r>
  </si>
  <si>
    <r>
      <t xml:space="preserve">der Aufwendungen für Betreuung beträgt der Pflegesatz </t>
    </r>
    <r>
      <rPr>
        <b/>
        <u/>
        <sz val="11"/>
        <rFont val="Arial"/>
        <family val="2"/>
      </rPr>
      <t>ab dem 01.01.2025</t>
    </r>
    <r>
      <rPr>
        <sz val="11"/>
        <rFont val="Arial"/>
        <family val="2"/>
      </rPr>
      <t xml:space="preserve"> für den</t>
    </r>
  </si>
  <si>
    <t>C65:F65</t>
  </si>
  <si>
    <t>Formeln hinterlegt: bei Laufzeitbeginn in 2025 errechnen sich die Pflegesätze mit den neuen Leistungsbeträgen § 43 SGB XI</t>
  </si>
  <si>
    <t>Zeilen 82:94</t>
  </si>
  <si>
    <t>Neuberechnung der Pflegesätze unter Berücksichtigung der neuen Leistungsbeträge § 43 SGB XI (einklappbar)</t>
  </si>
  <si>
    <t>Ausweisung der Neuberechnung der Pflegesätze unter Berücksichtigung der neuen Leistungsbeträge § 43 SGB XI (einklappbar)</t>
  </si>
  <si>
    <t>Spalte J</t>
  </si>
  <si>
    <t>H20:H23</t>
  </si>
  <si>
    <t>B75</t>
  </si>
  <si>
    <t>Formeln hinterlegt: bei Laufzeitbeginn in 2025 werden die neuen Leistungsbeträgen § 43 SGB XI berücksichtigt</t>
  </si>
  <si>
    <t>Neuberechnung EEE &amp; Pflegesätze unter Berücksichtigung der neuen Leistungsbeträge § 43 SGB XI (einklappbar)</t>
  </si>
  <si>
    <t>Neuberechnung</t>
  </si>
  <si>
    <t>Zeilen 39:45</t>
  </si>
  <si>
    <t>VV_2024-25</t>
  </si>
  <si>
    <t>geschlossen:</t>
  </si>
  <si>
    <t>Gemäß § 30 SGB XI erhöhen sich die Leistungsbeträge der Pflegeversicherung zum 01.01.2025</t>
  </si>
  <si>
    <t xml:space="preserve">um 4,5 Prozent. Diese Anpassung macht eine Neuberechnung des einrichtungseinheitlichen  </t>
  </si>
  <si>
    <t xml:space="preserve">Eigenanteils sowie der daraus abgeleiteten Pflegesätze zum 01.01.2025 erforderlich. </t>
  </si>
  <si>
    <t>Die Änderungen betreffen die unter § 6 Ziffer 1.1 ausgewiesenen Entgelte sowie den Vereinbarungs-</t>
  </si>
  <si>
    <t xml:space="preserve">zeitraum nach § 9. </t>
  </si>
  <si>
    <t>I.</t>
  </si>
  <si>
    <t xml:space="preserve">§ 6 Ziffer 1.1 der bestehenden Vereinbarung gemäß §§ 84, 85 und 87 SGB XI wird wie folgt geändert: </t>
  </si>
  <si>
    <t>II.</t>
  </si>
  <si>
    <t xml:space="preserve">§ 9 der bestehenden Vereinbarung gemäß §§ 84, 85 und 87 SGB XI wird wie folgt geändert: </t>
  </si>
  <si>
    <r>
      <t xml:space="preserve">wird folgende </t>
    </r>
    <r>
      <rPr>
        <b/>
        <sz val="11"/>
        <rFont val="Arial"/>
        <family val="2"/>
      </rPr>
      <t>Ergänzungsvereinbarung</t>
    </r>
    <r>
      <rPr>
        <sz val="11"/>
        <rFont val="Arial"/>
        <family val="2"/>
      </rPr>
      <t xml:space="preserve"> zur bestehenden Vergütungsvereinbarung vom</t>
    </r>
  </si>
  <si>
    <t>Ergänzungsvereinbarung 01-2025</t>
  </si>
  <si>
    <t xml:space="preserve">Diese Vergütungsvereinbarung tritt am 01.01.2025 in Kraft und gilt bis zum </t>
  </si>
  <si>
    <t>A74</t>
  </si>
  <si>
    <t>Formelbezug geändert auf Ergebnis!F20</t>
  </si>
  <si>
    <t>Zellformat geändert</t>
  </si>
  <si>
    <t>1.2 a</t>
  </si>
  <si>
    <t>1.2 b</t>
  </si>
  <si>
    <t>Pflegesätze, die unter § 6 Ziffer 2 geltenden Entgelte für Unterkunft und Verpflegung sowie die</t>
  </si>
  <si>
    <t>Nach Ablauf des Vereinbarungszeitraumes gelten die unter § 6 Ziffer 1.1 b und 1.2 b vereinbarten</t>
  </si>
  <si>
    <t>werden des endgültigen Pflegegrades für die unter Ziffer 1.1 a genannten Leistungen ein</t>
  </si>
  <si>
    <t>werden des endgültigen Pflegegrades für die unter Ziffer 1.1 b genannten Leistungen ein</t>
  </si>
  <si>
    <t>E129</t>
  </si>
  <si>
    <t>Bezug geändert auf Einheitspflegesatz fix flex (vgl. Beschlusslage GA am 14.02.2024)</t>
  </si>
  <si>
    <t>Zeilen 15:43</t>
  </si>
  <si>
    <t>Ergänzung: Abfrage Ist-Belegung &amp; Ist-Persobalmenge für bereits übergeleitete Einrichtungen</t>
  </si>
  <si>
    <t>I. b) Erreichungsgrad § 113c SGB XI</t>
  </si>
  <si>
    <t>I. a) Nachweis der Ist-Personalmenge für bereits übergeleitete Einrichtungen</t>
  </si>
  <si>
    <t>Ist-Belegungsstruktur ab Überleitung in die Personalbemessung § 113c SGB XI</t>
  </si>
  <si>
    <t>Datum der Überleitung</t>
  </si>
  <si>
    <t>Anzahl Monate Ist-Belegung</t>
  </si>
  <si>
    <t>vereinbarter Erreichungsgrad</t>
  </si>
  <si>
    <t>PDL, QMB, Fachkraft (QN 4)</t>
  </si>
  <si>
    <t>Hilfskraft mit Ausbildung (QN 3)</t>
  </si>
  <si>
    <t>Hilfskraft ohne Ausbildung (QN 1 &amp; 2)</t>
  </si>
  <si>
    <t>Kurzzeitpflegeplätze ausschließlich für die Belegung mit Kurzzeitpflegegästen vorgehalten.</t>
  </si>
  <si>
    <t>zu verwenden. Dies gilt auch für das übergangsweise sogenannte Probewohnen vor dem</t>
  </si>
  <si>
    <t>§ 2 Art und Inhalt der Leistung</t>
  </si>
  <si>
    <t>§ 3 Personelle Ausstattung</t>
  </si>
  <si>
    <t>§ 4 Höhe der Vergütung</t>
  </si>
  <si>
    <t>§ 5 Inkrafttreten</t>
  </si>
  <si>
    <t>§ 1 Vertragsgegenstand</t>
  </si>
  <si>
    <t>Vorab 2024-25</t>
  </si>
  <si>
    <t>neues Tabellenblatt eingefügt (Entgelte bis 31.12.24 und ab 01.01.25 werden ausgewiesen)</t>
  </si>
  <si>
    <t>Vereinbarungstext angepasst (Wegfall der Befristung der Erprobungsregelung)</t>
  </si>
  <si>
    <t>QN1 &amp; 2</t>
  </si>
  <si>
    <t>QN3</t>
  </si>
  <si>
    <t>QN4</t>
  </si>
  <si>
    <t>J8:O14</t>
  </si>
  <si>
    <t>Auswahlmöglichkeit für Übertrag auf "Datensatz 113c"</t>
  </si>
  <si>
    <t>Datensatz 113c</t>
  </si>
  <si>
    <t>Fachkräfte (QN4)</t>
  </si>
  <si>
    <t>Hilfskräfte mit Ausbildung (QN3)</t>
  </si>
  <si>
    <t>PDL</t>
  </si>
  <si>
    <t>QMB</t>
  </si>
  <si>
    <t>Fachkräfte QN4</t>
  </si>
  <si>
    <t>Hilfskräfte mit Ausbildung QN3</t>
  </si>
  <si>
    <t>Hilfskräfte ohne Ausbildung QN1&amp;2</t>
  </si>
  <si>
    <t>Übergangsregelung: QN4 ohne Bestandsschutz</t>
  </si>
  <si>
    <t xml:space="preserve">Bestandsschutz </t>
  </si>
  <si>
    <t>Übergangsregelung</t>
  </si>
  <si>
    <t>B83:F92</t>
  </si>
  <si>
    <t xml:space="preserve">Erweiterung / Änderung der Eingabemöglichkeiten: separate Abfrage PDL, QMB &amp; QNs </t>
  </si>
  <si>
    <t>Hilfskräfte ohne Ausbildung
(QN1&amp;2)</t>
  </si>
  <si>
    <t>B16:H25</t>
  </si>
  <si>
    <t xml:space="preserve">Erweiterung / Änderung der Darstellung: separate Betrachtung PDL, QMB &amp; QNs </t>
  </si>
  <si>
    <t>Tabellenblatt "Überleitung 113c" zur ersten Personalbemessung nach § 113c SGB XI
(Angaben erforderlich zur Quotierung der Hilfskräfte Soz. Dienst &amp; QN3 Pflege)</t>
  </si>
  <si>
    <t>Anlage zum Beschluss des Grundsatzausschusses NRW vom 05.09.2024</t>
  </si>
  <si>
    <t>Ermittlung des Bestandsschutzes gemäß § 113c Abs. 2 SGB XI (Ziffer 4 des Beschlusses)</t>
  </si>
  <si>
    <t xml:space="preserve">1.2.) Ist-Personalmenge im Funktionsbereich "Pflege / Betreuung" </t>
  </si>
  <si>
    <t>Vergütungsvereinbarung gem. §§ 84, 85 und 87 SGB XI zum 30.06.2023 (§ 5 Personelle Ausstattung)</t>
  </si>
  <si>
    <t>Sozialer Dienst</t>
  </si>
  <si>
    <t>1) Bestandsschutz QN4 (Fachkräfte)</t>
  </si>
  <si>
    <t>I. Vereinbarungsstand zum 30.06.2023</t>
  </si>
  <si>
    <t xml:space="preserve">II. tatsächlich vorgehaltene Personalmenge </t>
  </si>
  <si>
    <t>Pflege QN4</t>
  </si>
  <si>
    <t xml:space="preserve">Fachkräfte Soz. Dienst </t>
  </si>
  <si>
    <t>Betreuung QN4</t>
  </si>
  <si>
    <t>abzgl. PDL &amp; QMB</t>
  </si>
  <si>
    <t>III. Bestandsschutz QN4 gem. § 113c Abs. 2 SGB XI</t>
  </si>
  <si>
    <t>Pflege QN1&amp;2</t>
  </si>
  <si>
    <t>Betreuung QN1&amp;2</t>
  </si>
  <si>
    <t>III. Bestandsschutz QN1 &amp; 2 gem. § 113c Abs. 2 SGB XI</t>
  </si>
  <si>
    <t>nachrichtlich:</t>
  </si>
  <si>
    <t>Personalmengen bei Anwendung des kalkulierten Erreichungsgrads § 113c SGB XI</t>
  </si>
  <si>
    <t xml:space="preserve">QN4 </t>
  </si>
  <si>
    <t>vorzuhaltende Schlüssel gem. Erreichungsgrad §113c SGB XI</t>
  </si>
  <si>
    <t>prospektive Belegungsstruktur</t>
  </si>
  <si>
    <t>ermittelte Personalmenge gem. Personalschlüssel und prospektiver Belegungstruktur</t>
  </si>
  <si>
    <t>Übergangsregelung zur Finanzierung nicht bestandsgeschützter Fachkräfte bis 31.12.2028</t>
  </si>
  <si>
    <t>(Ziffer 6 des Beschlusses)</t>
  </si>
  <si>
    <t>abzgl. anerkannte VK PDL &amp; QMB (sofern im vereinbarten Fachkraftpersonal enthalten)</t>
  </si>
  <si>
    <t>a. Darstellung der Substitution in der Personalmenge: Hilfskräfte mit Ausbildung (QN3)</t>
  </si>
  <si>
    <t>b. Bewertung der Substitution: Ermittlung des Differenzbetrags für die substituierten Stellenanteile</t>
  </si>
  <si>
    <t>QN4: anerkannter Aufwand pro Jahr</t>
  </si>
  <si>
    <t>QN3: anerkannter Aufwand pro Jahr</t>
  </si>
  <si>
    <t>Substitutionseffekt im prospektiven Vereinbarungszeitraum</t>
  </si>
  <si>
    <t>Zeilen 23:24</t>
  </si>
  <si>
    <t xml:space="preserve">Erweiterung / Änderung der Darstellung: PDL &amp; QMB werden separat aufgeführt </t>
  </si>
  <si>
    <t>Zeile 31</t>
  </si>
  <si>
    <t>Darstellung Substitionseffekt aus Übergangsregelung (sofern vorhanden)</t>
  </si>
  <si>
    <t>B14</t>
  </si>
  <si>
    <t>Bezug angepasst: Richtwert 113c umfasst nur QN1 - QN4 (indirekte Pflege wird separat vereinbart)</t>
  </si>
  <si>
    <t>Zeilen 25:27</t>
  </si>
  <si>
    <t>Bezüge an die geänderte Darstellung auf "Personalkosten" angepasst</t>
  </si>
  <si>
    <t>Bezüge angepasst</t>
  </si>
  <si>
    <t>Zusätzlich zu diesen drei Qualifikationsgruppen werden folgende Stellenanteile für die</t>
  </si>
  <si>
    <t>nachstehenden, pflegegradunabhängigen Sonderfunktionen vereinbart:</t>
  </si>
  <si>
    <t>H32:I32</t>
  </si>
  <si>
    <t>J25:J28</t>
  </si>
  <si>
    <t>Formeln &amp; bedingte Formatierung gelöscht (PDL &amp; QMB wird immer gesondert ausgewiesen)</t>
  </si>
  <si>
    <t>G32:I32</t>
  </si>
  <si>
    <t>Zeile 165</t>
  </si>
  <si>
    <t>Substitutionseffekt wird ausgewiesen (sofern einschlägig)</t>
  </si>
  <si>
    <t>A83:B90</t>
  </si>
  <si>
    <t>Darstellung angepasst an Ergebnisblatt (Ausweisung PDL &amp; QMB)</t>
  </si>
  <si>
    <t>2) Ausnahmetatbestand: Richtwert § 113c SGB XI für das QN4 &gt; Bestandsschutz QN4 (Fachkräfte)</t>
  </si>
  <si>
    <t>A102:B102</t>
  </si>
  <si>
    <t>Bezug auf Übergangsregelung QN4</t>
  </si>
  <si>
    <t>2) Bestandsschutz QN3 (Hilfskräfte mit Ausbildung)</t>
  </si>
  <si>
    <t>III. Bestandsschutz QN3 gem. § 113c Abs. 2 SGB XI</t>
  </si>
  <si>
    <t>3) Bestandsschutz QN1 &amp; 2 (Hilfskräfte ohne Ausbildung)</t>
  </si>
  <si>
    <t>Pflegehilfskräfte mit Ausb.</t>
  </si>
  <si>
    <t>Hilfskräfte Soz. D. mit Ausb.</t>
  </si>
  <si>
    <t>Hilfskräfte Soz. D. ohne Ausb.</t>
  </si>
  <si>
    <t>Pflege QN3</t>
  </si>
  <si>
    <t>Betreuung QN3</t>
  </si>
  <si>
    <t>Pflegehilfskräfte ohne Ausb.</t>
  </si>
  <si>
    <t>Zeilen 184-192</t>
  </si>
  <si>
    <t>Tabelle Personalschlüssel gelöscht bzw. unkenntlich gemacht, da Personalmengen davon unabhängig ermittelt werden</t>
  </si>
  <si>
    <t>Übertrag</t>
  </si>
  <si>
    <t>Zeilen 204-213</t>
  </si>
  <si>
    <t>Ausweisung Bestandsschutz (sofern dieser lt. Tabellenblatt "Bestandsschutz" für den Vereinbarungszeitraum einschlägig ist)</t>
  </si>
  <si>
    <t>Substitutionseffekt</t>
  </si>
  <si>
    <t xml:space="preserve">zzgl. prospektive Personalmenge Hilfskräfte mit Ausbildung (QN3) </t>
  </si>
  <si>
    <t>H63:I71</t>
  </si>
  <si>
    <t>Belegung für den Zuschlag nach § 84,9 ist nicht mehr notwendig und kann gelöscht werden</t>
  </si>
  <si>
    <t>Flaßpöhler</t>
  </si>
  <si>
    <t>F74</t>
  </si>
  <si>
    <t>Regel für bedingte Formatierung kann gelöscht werden. Auf diese Zelle wird sich nicht weiter bezogen</t>
  </si>
  <si>
    <t>J28:Q38</t>
  </si>
  <si>
    <t xml:space="preserve">D45; E45; G45 </t>
  </si>
  <si>
    <t>Korrektur: VK AZUBI Pflegefachassistenz fehlt in der Summenbildung</t>
  </si>
  <si>
    <t>E38</t>
  </si>
  <si>
    <t>Format an vergleichbare Zellen angepasst</t>
  </si>
  <si>
    <t>Mönchengladbach statt Mönchengladbeck</t>
  </si>
  <si>
    <t>C426</t>
  </si>
  <si>
    <t>stationäre Pflegeeinrichtungen in NRW - 2025</t>
  </si>
  <si>
    <t>A60:G63</t>
  </si>
  <si>
    <t>Zelleninhalte gelöscht (Ausweisung der Richtwerte je PG aus Überleitungsregelung PSG II)</t>
  </si>
  <si>
    <t>Zeilen 82-94</t>
  </si>
  <si>
    <t>ein-/ausklappbaren Bereich zur Neuberechnung der Pflegesätze ab 01.01.2025 gelöscht</t>
  </si>
  <si>
    <t>Copy&amp;Paste</t>
  </si>
  <si>
    <t>PDL &amp; QMB</t>
  </si>
  <si>
    <t>Zeilen 83:84</t>
  </si>
  <si>
    <t>Zeilen 16:17</t>
  </si>
  <si>
    <t>Anpassung der Darstellung: PDL / QMB in einer Summe</t>
  </si>
  <si>
    <t>D23</t>
  </si>
  <si>
    <t>Anpassung der Darstellung: Forderung PDL / QMB in einer Summe</t>
  </si>
  <si>
    <t>G47</t>
  </si>
  <si>
    <t>Formel zur Summenbildung angepasst (=summe(G45:G46))</t>
  </si>
  <si>
    <t>G31</t>
  </si>
  <si>
    <t>Bezug auf "Übergangsregelung" angepasst, so dass auf "Ergebnis" keine Fehlermeldung erscheint</t>
  </si>
  <si>
    <t>D44, E44, G44</t>
  </si>
  <si>
    <t>Formeln zur Summenbildung angepasst</t>
  </si>
  <si>
    <t>D81</t>
  </si>
  <si>
    <t>Formelbezug geändert auf G36 / QN3 (statt G24 / QN4)</t>
  </si>
  <si>
    <t>C206:G208</t>
  </si>
  <si>
    <t>Formeln angepasst: Bestandsschutz wird nur dann ausgewiesen, wenn dieser auch über das Tabellenblatt "Ergebnis" vereinbart wird</t>
  </si>
  <si>
    <t>A204:B213</t>
  </si>
  <si>
    <t>Bedingung eingefügt: Passus Bestandsschutz steht nur dann im Vereinbarungstext, wenn auch ein Bestandsschutz festgestellt &amp; vereinbart wird</t>
  </si>
  <si>
    <t>E32</t>
  </si>
  <si>
    <t>Summenbildung angepasst (PDL &amp; QMB blieben bislang unberücksichtigt)</t>
  </si>
  <si>
    <t>nachrichtlich: Grundlage für die Ermittlung der Personalmenge Pflege &amp; Betreuung</t>
  </si>
  <si>
    <t>QN1-2</t>
  </si>
  <si>
    <t>Prüfung des Bestandsschutzes zum 30.06.2023</t>
  </si>
  <si>
    <t>Maximalwerte zum Zeitpunkt der Überleitung</t>
  </si>
  <si>
    <t>Ermittlung der prospektiv anerkennungsfähigen Personalmenge</t>
  </si>
  <si>
    <t>Übergangsregelung QN4 (siehe Tabellenblatt "Übergangsregelung")</t>
  </si>
  <si>
    <t>zzgl. prospektive Forderung QN3</t>
  </si>
  <si>
    <t>Verrechnung für Substitution QN1-2 -&gt; QN3</t>
  </si>
  <si>
    <t>II. tatsächlich vorgehaltene Personalmenge (2023)</t>
  </si>
  <si>
    <t>zum Zeitpunkt der Überleitung vereinbarte, prospektive Belegungsstruktur</t>
  </si>
  <si>
    <t>ermittelte Personalmenge gem. Personalschlüssel und vereinbarter Belegungstruktur</t>
  </si>
  <si>
    <t>II. tatsächlich vorgehaltene Personalmenge (Vorjahr)</t>
  </si>
  <si>
    <t>Substitutionsmöglichkeiten in das QN3</t>
  </si>
  <si>
    <t>Option: Substitution aus weiterem Stellenüberhang QN4</t>
  </si>
  <si>
    <t>Option: Substitution aus Stellenüberhang QN1 &amp; 2</t>
  </si>
  <si>
    <t>Personalschlüssel §113c SGB XI (100%)</t>
  </si>
  <si>
    <t>[ … ]</t>
  </si>
  <si>
    <t>Personalmenge 113c</t>
  </si>
  <si>
    <t>A26, A50</t>
  </si>
  <si>
    <t>Plausibilitätsprüfungen gelöscht</t>
  </si>
  <si>
    <t>G92</t>
  </si>
  <si>
    <t>Bezug auf Forderung lt. Tabellenblatt Personalkosten angepasst</t>
  </si>
  <si>
    <t>A95</t>
  </si>
  <si>
    <t>Text für Warnhinweis angepasst (Zelle G92 ist evtl. anzupassen)</t>
  </si>
  <si>
    <t>G33, H33, I33</t>
  </si>
  <si>
    <t>Formel zur Summenbildung korrigiert, damit auch die Substitution QN1-2 -&gt; QN3 aus Zeile 32 Berücksichtigung findet</t>
  </si>
  <si>
    <t>Gegenüberstellung der rechnerischen Forderung nach 113c und ggf. abweichender prospektiver, angestrebter Vereinbarung (in %); Werte aus Spalte "F" maßgeblich für das Ergebnis</t>
  </si>
  <si>
    <t>Umrechnung der %-Erreichungsgrade (F54:F56) auf die 100% Schlüssel 113c</t>
  </si>
  <si>
    <t>Bewertung der Substitution in € =&gt; Übernahme in das Ergebnisblatt</t>
  </si>
  <si>
    <t>Bestandsschutz_2023</t>
  </si>
  <si>
    <t>C9, J5, G18, G20, G21, G31, G33, G43, A68, A70</t>
  </si>
  <si>
    <t>Wildt</t>
  </si>
  <si>
    <t>G18, I22, G31, G43, I46, H54, H61, I90</t>
  </si>
  <si>
    <t>G30</t>
  </si>
  <si>
    <t>Kommentare zur Eintragung und Erklärung der Berechnung ergänzt</t>
  </si>
  <si>
    <t>Kommentare und Felder zur Eintragung und Erklärung der Berechnung ergänzt</t>
  </si>
  <si>
    <t>Kommentar zur Eintragung der Berechnung ergänzt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</si>
</sst>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3">
    <numFmt numFmtId="5" formatCode="#,##0\ &quot;€&quot;;\-#,##0\ &quot;€&quot;"/>
    <numFmt numFmtId="6" formatCode="#,##0\ &quot;€&quot;;[Red]\-#,##0\ &quot;€&quot;"/>
    <numFmt numFmtId="7" formatCode="#,##0.00\ &quot;€&quot;;\-#,##0.00\ &quot;€&quot;"/>
    <numFmt numFmtId="8" formatCode="#,##0.00\ &quot;€&quot;;[Red]\-#,##0.00\ &quot;€&quot;"/>
    <numFmt numFmtId="42" formatCode="_-* #,##0\ &quot;€&quot;_-;\-* #,##0\ &quot;€&quot;_-;_-* &quot;-&quot;\ &quot;€&quot;_-;_-@_-"/>
    <numFmt numFmtId="44" formatCode="_-* #,##0.00\ &quot;€&quot;_-;\-* #,##0.00\ &quot;€&quot;_-;_-* &quot;-&quot;??\ &quot;€&quot;_-;_-@_-"/>
    <numFmt numFmtId="164" formatCode="_-* #,##0.00\ _€_-;\-* #,##0.00\ _€_-;_-* &quot;-&quot;??\ _€_-;_-@_-"/>
    <numFmt numFmtId="165" formatCode="#,##0\ &quot;DM&quot;;\-#,##0\ &quot;DM&quot;"/>
    <numFmt numFmtId="166" formatCode="#,##0\ &quot;DM&quot;;[Red]\-#,##0\ &quot;DM&quot;"/>
    <numFmt numFmtId="167" formatCode="#,##0.00\ &quot;DM&quot;;\-#,##0.00\ &quot;DM&quot;"/>
    <numFmt numFmtId="168" formatCode="_-* #,##0.00\ &quot;DM&quot;_-;\-* #,##0.00\ &quot;DM&quot;_-;_-* &quot;-&quot;??\ &quot;DM&quot;_-;_-@_-"/>
    <numFmt numFmtId="169" formatCode="_-* #,##0.00\ _D_M_-;\-* #,##0.00\ _D_M_-;_-* &quot;-&quot;??\ _D_M_-;_-@_-"/>
    <numFmt numFmtId="170" formatCode="0.0%"/>
    <numFmt numFmtId="171" formatCode="#,##0.00\ &quot;DM&quot;"/>
    <numFmt numFmtId="172" formatCode="#,##0\ &quot;DM&quot;"/>
    <numFmt numFmtId="173" formatCode="000\ 000\ 000"/>
    <numFmt numFmtId="174" formatCode="&quot;~&quot;\ 0.00"/>
    <numFmt numFmtId="175" formatCode="0.00%\ &quot;Netto&quot;"/>
    <numFmt numFmtId="176" formatCode="&quot;Ist &quot;dd/mm/yy\ &quot;bis&quot;"/>
    <numFmt numFmtId="177" formatCode="0.00\ &quot;VK&quot;"/>
    <numFmt numFmtId="178" formatCode="General\ &quot;Stunden geöffnet&quot;"/>
    <numFmt numFmtId="179" formatCode="#,##0.00\ \€"/>
    <numFmt numFmtId="180" formatCode="dd/\ mmmm\ yyyy"/>
    <numFmt numFmtId="181" formatCode="#,##0\ \€"/>
    <numFmt numFmtId="182" formatCode="&quot;Ist &quot;dd/mm/yyyy\ &quot;bis&quot;"/>
    <numFmt numFmtId="183" formatCode="0.00\ &quot;€&quot;"/>
    <numFmt numFmtId="184" formatCode="_-* #,##0.00\ [$€-1]_-;\-* #,##0.00\ [$€-1]_-;_-* &quot;-&quot;??\ [$€-1]_-"/>
    <numFmt numFmtId="185" formatCode="_-* #,##0\ [$€-1]_-;\-* #,##0\ [$€-1]_-;_-* &quot;-&quot;??\ [$€-1]_-"/>
    <numFmt numFmtId="186" formatCode="_-* #,##0.00_ \€_-;\-* #,##0.00_ \€_-;_-* &quot;-&quot;??_ \€_-;_-@_-"/>
    <numFmt numFmtId="187" formatCode="_-* #,##0_ \€_-;\-* #,##0_ \€_-;_-* &quot;-&quot;??_ \€_-;_-@_-"/>
    <numFmt numFmtId="188" formatCode="#,##0.00_ ;\-#,##0.00\ "/>
    <numFmt numFmtId="189" formatCode="_-* #,##0.00\ [$€-1]_-;\-* #,##0.00\ [$€-1]_-;_-* &quot;-&quot;??\ [$€-1]_-;_-@_-"/>
    <numFmt numFmtId="190" formatCode="0.0000\ &quot;VK&quot;"/>
    <numFmt numFmtId="191" formatCode="#,##0.00\ &quot;€&quot;"/>
    <numFmt numFmtId="192" formatCode="0.00\ &quot;DM&quot;"/>
    <numFmt numFmtId="193" formatCode="General&quot;/02&quot;"/>
    <numFmt numFmtId="194" formatCode="#,##0&quot; €&quot;"/>
    <numFmt numFmtId="195" formatCode="yyyy\-mm\-dd"/>
    <numFmt numFmtId="196" formatCode="dddd\,\ dd/mm/yy"/>
    <numFmt numFmtId="197" formatCode="0\ &quot;Monate&quot;"/>
    <numFmt numFmtId="198" formatCode="#,##0\ &quot;€&quot;"/>
    <numFmt numFmtId="199" formatCode="#,##0.00\ &quot;€&quot;;[Magenta]\-#,##0.00\ &quot;€&quot;"/>
    <numFmt numFmtId="200" formatCode="\(&quot;Summe&quot;\ \ 0.00\ \)"/>
    <numFmt numFmtId="201" formatCode="\+\ #,##0.00\ &quot;FL&quot;;\-#,##0.00\ &quot;€&quot;"/>
    <numFmt numFmtId="202" formatCode="&quot;APU verteilt über &quot;0.0\ &quot;Jahre&quot;"/>
    <numFmt numFmtId="203" formatCode="\+\ 0.00\ %;[Magenta]\-\ 0.00\ %"/>
    <numFmt numFmtId="204" formatCode="\+\ 0.00%;[Red]\-\ 0.00%"/>
    <numFmt numFmtId="205" formatCode="&quot;Basis UV: &quot;#,##0.00"/>
    <numFmt numFmtId="206" formatCode="&quot;Gesamtbeköstigtensatz: &quot;#,##0.00\ &quot;€&quot;"/>
    <numFmt numFmtId="207" formatCode="&quot;Verpflegung:                    &quot;\ #,##0.00\ \ \€;[Red]\-#,##0.00\ \€"/>
    <numFmt numFmtId="208" formatCode="&quot;Gesamtsondenbeköstigtensatz: &quot;#,##0.00\ &quot;€&quot;"/>
    <numFmt numFmtId="209" formatCode="#,##0_ ;[Red]\-#,##0\ "/>
    <numFmt numFmtId="210" formatCode="General\ &quot;Öffnungstage&quot;"/>
    <numFmt numFmtId="211" formatCode="#,##0.00\ [$€-1]"/>
    <numFmt numFmtId="212" formatCode="#,##0\ [$€-1];[Red]\-#,##0\ [$€-1]"/>
    <numFmt numFmtId="213" formatCode="&quot;ø &quot;#,##0_ \€_-;\-* #,##0_ \€_-;_-* &quot;-&quot;??_ \€_-;_-@_-"/>
    <numFmt numFmtId="214" formatCode="&quot;FL gegengerechnet mit ø &quot;#,###\ &quot; €&quot;"/>
    <numFmt numFmtId="215" formatCode="&quot;Stand: &quot;dd/mm/yyyy"/>
    <numFmt numFmtId="216" formatCode="#,##0.00\ _€"/>
    <numFmt numFmtId="217" formatCode="_-* #,##0.00\ [$€-407]_-;\-* #,##0.00\ [$€-407]_-;_-* &quot;-&quot;??\ [$€-407]_-;_-@_-"/>
    <numFmt numFmtId="218" formatCode="0\ &quot;€&quot;"/>
    <numFmt numFmtId="219" formatCode="_-* #,##0\ [$€-407]_-;\-* #,##0\ [$€-407]_-;_-* &quot;-&quot;??\ [$€-407]_-;_-@_-"/>
    <numFmt numFmtId="220" formatCode="0.0000"/>
    <numFmt numFmtId="221" formatCode="&quot;Ermittlung einer laufzeitabhängigen Personalkostensteigerung ab: &quot;dd/mm/yy"/>
    <numFmt numFmtId="222" formatCode="&quot;bei Zielwertvorgabe FK-Quote: &quot;0.00%\ "/>
    <numFmt numFmtId="223" formatCode="0.00\ &quot;%&quot;"/>
    <numFmt numFmtId="224" formatCode="_-* #,##0\ &quot;€&quot;_-;\-* #,##0\ &quot;€&quot;_-;_-* &quot;-&quot;??\ &quot;€&quot;_-;_-@_-"/>
    <numFmt numFmtId="225" formatCode="&quot;1 : &quot;General"/>
    <numFmt numFmtId="226" formatCode="#,##0.00_ ;[Red]\-#,##0.00\ "/>
    <numFmt numFmtId="227" formatCode="0.000"/>
    <numFmt numFmtId="228" formatCode="#0.0000\ &quot;VK&quot;"/>
    <numFmt numFmtId="229" formatCode="&quot;Personal Pflegedienst Examiniert &quot;\ \ \ \ 0.00%"/>
    <numFmt numFmtId="230" formatCode="0.00&quot; VK&quot;\ "/>
    <numFmt numFmtId="231" formatCode="#,##0.000_ ;\-#,##0.000\ "/>
    <numFmt numFmtId="232" formatCode="&quot;ab: &quot;dd/mm/yyyy"/>
    <numFmt numFmtId="233" formatCode="&quot;KzP: &quot;0.00\ &quot;€&quot;"/>
    <numFmt numFmtId="234" formatCode="&quot;KzP: &quot;#,##0.00\ &quot;€&quot;"/>
    <numFmt numFmtId="235" formatCode="&quot;Fachkraftquote: &quot;0.00%"/>
    <numFmt numFmtId="236" formatCode="0.0000&quot; VK&quot;\ "/>
    <numFmt numFmtId="237" formatCode="_-* #,##0.000\ [$€-1]_-;\-* #,##0.000\ [$€-1]_-;_-* &quot;-&quot;??\ [$€-1]_-;_-@_-"/>
    <numFmt numFmtId="238" formatCode="&quot; IK: &quot;\ 000\ 000\ 000\ "/>
    <numFmt numFmtId="239" formatCode="_-* #,##0.00\ [$€-407]_-;\-* #,##0.00\ [$€-407]_-;_-* &quot;-&quot;???\ [$€-407]_-;_-@_-"/>
    <numFmt numFmtId="240" formatCode="_-* #,##0\ _€_-;\-* #,##0\ _€_-;_-* &quot;-&quot;??\ _€_-;_-@_-"/>
    <numFmt numFmtId="241" formatCode="_-* #,##0\ [$€-1]_-;\-* #,##0\ [$€-1]_-;_-* &quot;-&quot;??\ [$€-1]_-;_-@_-"/>
    <numFmt numFmtId="242" formatCode="0.00&quot; VK&quot;"/>
    <numFmt numFmtId="243" formatCode="#,##0&quot; BT&quot;"/>
    <numFmt numFmtId="244" formatCode="#,##0&quot; Vergleichstage&quot;"/>
    <numFmt numFmtId="245" formatCode="#,##0.00\ [$€-407];[Red]\-#,##0.00\ [$€-407]"/>
    <numFmt numFmtId="246" formatCode="&quot;V-Rate: &quot;0.00%"/>
    <numFmt numFmtId="247" formatCode="00"/>
    <numFmt numFmtId="248" formatCode="&quot;1 : &quot;\ General"/>
    <numFmt numFmtId="249" formatCode="&quot;Zuschl. l. Vereinb.: &quot;#,##0.00\ &quot;€&quot;;[Red]\-#,##0.00\ &quot;€&quot;"/>
    <numFmt numFmtId="250" formatCode="0.00\ &quot;€&quot;&quot;         &quot;"/>
    <numFmt numFmtId="251" formatCode="&quot;Zuschlag letzte Vereinbarung: &quot;#,##0.00\ &quot;€&quot;;[Red]\-#,##0.00\ &quot;€&quot;"/>
    <numFmt numFmtId="252" formatCode="&quot;-&quot;0.0000\ &quot;VK&quot;"/>
    <numFmt numFmtId="253" formatCode="&quot;Ø&quot;\ #,##0\ &quot;€/VK&quot;"/>
    <numFmt numFmtId="254" formatCode="&quot;Personalkosten mit Fortbildung Ist lt. Nachweis:              &quot;##,##0\ &quot;€ (Budget)&quot;"/>
    <numFmt numFmtId="255" formatCode="&quot;Personalkosten mit Fortbildung je VK Ist lt. Nachweis:    Ø &quot;##,##0\ &quot;€/VK)&quot;"/>
    <numFmt numFmtId="256" formatCode="&quot;IK: &quot;\ 000\ 000\ 000"/>
    <numFmt numFmtId="257" formatCode="&quot;bis &quot;dd/mm/yyyy"/>
    <numFmt numFmtId="258" formatCode="#,#00&quot;  &quot;"/>
    <numFmt numFmtId="259" formatCode="#,##0.00\ "/>
    <numFmt numFmtId="260" formatCode="#,#00.00&quot;  &quot;"/>
    <numFmt numFmtId="261" formatCode="#,##0.00&quot;  &quot;"/>
    <numFmt numFmtId="262" formatCode="#,##0.0000\ \V\K;[Red]\-#,##0.0000\ \V\K"/>
    <numFmt numFmtId="263" formatCode="&quot;Zuschl. letzte Vereinb.: &quot;#,##0.00\ &quot;€&quot;;[Red]\-#,##0.00\ &quot;€&quot;"/>
    <numFmt numFmtId="264" formatCode="&quot;zuzüglich &quot;0.00%"/>
    <numFmt numFmtId="265" formatCode="&quot;zuzüglich&quot;\ 0.00%"/>
    <numFmt numFmtId="266" formatCode="#,##0\ &quot;Berechnungstage&quot;"/>
    <numFmt numFmtId="267" formatCode="#,##0.0000\ &quot;Bewohner&quot;"/>
    <numFmt numFmtId="268" formatCode="#,##0_ ;\-#,##0\ "/>
    <numFmt numFmtId="269" formatCode="[$-407]d/\ mmmm\ yyyy;@"/>
    <numFmt numFmtId="270" formatCode="00\ 0\ 00\ 00"/>
    <numFmt numFmtId="271" formatCode="00\ 00\ 0\ 00"/>
    <numFmt numFmtId="272" formatCode="#,##0.00\ [$€-407];\-#,##0.00\ [$€-407]"/>
    <numFmt numFmtId="273" formatCode="dd/mm/yyyy;@"/>
    <numFmt numFmtId="274" formatCode="&quot;PersSoll: &quot;\ 0.00"/>
    <numFmt numFmtId="275" formatCode="#,##0.00\ &quot;VK&quot;"/>
    <numFmt numFmtId="276" formatCode="&quot;-&quot;0.00\ &quot;VK&quot;"/>
    <numFmt numFmtId="277" formatCode="#,##0.00\ %;[Red]\-#,##0.00\ %"/>
    <numFmt numFmtId="278" formatCode="#,##0.000"/>
    <numFmt numFmtId="279" formatCode="&quot;max. Wert: &quot;\ 0.000\ &quot;VK&quot;"/>
    <numFmt numFmtId="280" formatCode="&quot;maximal finanzierbare Stellen: &quot;\ 0.000\ &quot;VK&quot;"/>
    <numFmt numFmtId="281" formatCode="00000"/>
    <numFmt numFmtId="282" formatCode="0.000\ &quot;VK&quot;"/>
    <numFmt numFmtId="283" formatCode="_-* #,##0\ _D_M_-;\-* #,##0\ _D_M_-;_-* &quot;-&quot;??\ _D_M_-;_-@_-"/>
    <numFmt numFmtId="284" formatCode="&quot;Ø&quot;\ 00,000\ &quot;€&quot;"/>
    <numFmt numFmtId="285" formatCode="&quot;Σ&quot;\ #,##0\ &quot;€&quot;"/>
    <numFmt numFmtId="286" formatCode="#,##0\ &quot;BT&quot;"/>
    <numFmt numFmtId="287" formatCode="0.000%"/>
    <numFmt numFmtId="288" formatCode="0.0000%"/>
    <numFmt numFmtId="289" formatCode="&quot;1 zu&quot;\ 0.00"/>
    <numFmt numFmtId="290" formatCode="&quot; bei &quot;0.00%"/>
    <numFmt numFmtId="291" formatCode="\+0.00\ &quot;VK&quot;;\-0.00\ &quot;VK&quot;;&quot;+/-0&quot;"/>
    <numFmt numFmtId="292" formatCode="0.00000"/>
    <numFmt numFmtId="293" formatCode="0.00\ \V\K"/>
    <numFmt numFmtId="294" formatCode="#,##0.00\ \V\K"/>
    <numFmt numFmtId="295" formatCode="&quot;Diese &quot;0.00\ \V\K&quot; sind der Vergleichswert zur nachgewiesenen Ist-Personalmenge.&quot;"/>
    <numFmt numFmtId="296" formatCode="0.00\ \V\K\)"/>
    <numFmt numFmtId="297" formatCode="dd/mm/yyyy&quot;.&quot;"/>
    <numFmt numFmtId="298" formatCode="0.00\ \V\K\."/>
    <numFmt numFmtId="299" formatCode="&quot;(Substitutionseffekt: Es werden &quot;0.00\ \V\K&quot; Fachkraftpersonal in QN3 ausgewiesen.)&quot;"/>
    <numFmt numFmtId="300" formatCode="&quot;(Substitutionseffekt: Es werden &quot;0.00\ \V\K&quot; Hilfskraftpers. o. Ausb. in QN3 ausgewiesen.)&quot;"/>
  </numFmts>
  <fonts count="39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b/>
      <sz val="10"/>
      <name val="Arial"/>
      <family val="2"/>
    </font>
    <font>
      <sz val="10"/>
      <name val="Arial"/>
      <family val="2"/>
    </font>
    <font>
      <sz val="10"/>
      <name val="Arial"/>
      <family val="2"/>
    </font>
    <font>
      <b/>
      <sz val="10"/>
      <name val="Arial"/>
      <family val="2"/>
    </font>
    <font>
      <sz val="10"/>
      <color indexed="8"/>
      <name val="Arial"/>
      <family val="2"/>
    </font>
    <font>
      <sz val="8"/>
      <name val="Arial"/>
      <family val="2"/>
    </font>
    <font>
      <sz val="12"/>
      <name val="Arial"/>
      <family val="2"/>
    </font>
    <font>
      <sz val="9"/>
      <name val="Arial"/>
      <family val="2"/>
    </font>
    <font>
      <b/>
      <sz val="12"/>
      <name val="Arial"/>
      <family val="2"/>
    </font>
    <font>
      <b/>
      <sz val="16"/>
      <name val="Arial"/>
      <family val="2"/>
    </font>
    <font>
      <b/>
      <sz val="11"/>
      <name val="Arial"/>
      <family val="2"/>
    </font>
    <font>
      <b/>
      <sz val="14"/>
      <name val="Arial"/>
      <family val="2"/>
    </font>
    <font>
      <sz val="11"/>
      <name val="Arial"/>
      <family val="2"/>
    </font>
    <font>
      <sz val="8"/>
      <color indexed="81"/>
      <name val="Tahoma"/>
      <family val="2"/>
    </font>
    <font>
      <u/>
      <sz val="10"/>
      <name val="Arial"/>
      <family val="2"/>
    </font>
    <font>
      <b/>
      <sz val="9"/>
      <name val="Arial"/>
      <family val="2"/>
    </font>
    <font>
      <sz val="9"/>
      <color indexed="8"/>
      <name val="Arial"/>
      <family val="2"/>
    </font>
    <font>
      <b/>
      <sz val="8"/>
      <color indexed="81"/>
      <name val="Tahoma"/>
      <family val="2"/>
    </font>
    <font>
      <i/>
      <sz val="10"/>
      <name val="Arial"/>
      <family val="2"/>
    </font>
    <font>
      <i/>
      <sz val="11"/>
      <name val="Arial"/>
      <family val="2"/>
    </font>
    <font>
      <b/>
      <u/>
      <sz val="10"/>
      <name val="Arial"/>
      <family val="2"/>
    </font>
    <font>
      <u/>
      <sz val="11"/>
      <name val="Arial"/>
      <family val="2"/>
    </font>
    <font>
      <b/>
      <u/>
      <sz val="11"/>
      <name val="Arial"/>
      <family val="2"/>
    </font>
    <font>
      <sz val="10.5"/>
      <name val="Arial"/>
      <family val="2"/>
    </font>
    <font>
      <sz val="12"/>
      <name val="Times New Roman"/>
      <family val="1"/>
    </font>
    <font>
      <sz val="8"/>
      <name val="Lucida Sans Unicode"/>
      <family val="2"/>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u/>
      <sz val="10"/>
      <color indexed="12"/>
      <name val="Arial"/>
      <family val="2"/>
    </font>
    <font>
      <u/>
      <sz val="8.5"/>
      <color indexed="12"/>
      <name val="Arial"/>
      <family val="2"/>
    </font>
    <font>
      <b/>
      <sz val="10"/>
      <color indexed="48"/>
      <name val="Arial"/>
      <family val="2"/>
    </font>
    <font>
      <b/>
      <sz val="11.5"/>
      <color indexed="8"/>
      <name val="Calibri"/>
      <family val="2"/>
      <scheme val="minor"/>
    </font>
    <font>
      <b/>
      <sz val="10"/>
      <color theme="3" tint="-0.249977111117893"/>
      <name val="Arial"/>
      <family val="2"/>
    </font>
    <font>
      <sz val="10"/>
      <color theme="0"/>
      <name val="Arial"/>
      <family val="2"/>
    </font>
    <font>
      <sz val="9"/>
      <color indexed="81"/>
      <name val="Segoe UI"/>
      <family val="2"/>
    </font>
    <font>
      <b/>
      <sz val="9"/>
      <color indexed="81"/>
      <name val="Segoe UI"/>
      <family val="2"/>
    </font>
    <font>
      <b/>
      <sz val="10"/>
      <name val="Calibri"/>
      <family val="2"/>
    </font>
    <font>
      <sz val="10"/>
      <name val="Calibri"/>
      <family val="2"/>
    </font>
    <font>
      <sz val="11"/>
      <color theme="0"/>
      <name val="Arial"/>
      <family val="2"/>
    </font>
    <font>
      <i/>
      <sz val="10"/>
      <color theme="0"/>
      <name val="Arial"/>
      <family val="2"/>
    </font>
    <font>
      <b/>
      <sz val="10"/>
      <color theme="1"/>
      <name val="Arial"/>
      <family val="2"/>
    </font>
    <font>
      <b/>
      <sz val="10"/>
      <color theme="3" tint="0.39997558519241921"/>
      <name val="Arial"/>
      <family val="2"/>
    </font>
    <font>
      <b/>
      <i/>
      <sz val="10"/>
      <color rgb="FFC00000"/>
      <name val="Arial"/>
      <family val="2"/>
    </font>
    <font>
      <b/>
      <sz val="11"/>
      <name val="Tahoma"/>
      <family val="2"/>
    </font>
    <font>
      <sz val="10"/>
      <name val="Tahoma"/>
      <family val="2"/>
    </font>
    <font>
      <b/>
      <sz val="10"/>
      <name val="Tahoma"/>
      <family val="2"/>
    </font>
    <font>
      <b/>
      <u/>
      <sz val="11"/>
      <name val="Tahoma"/>
      <family val="2"/>
    </font>
    <font>
      <sz val="10"/>
      <color rgb="FFFF0000"/>
      <name val="Arial"/>
      <family val="2"/>
    </font>
    <font>
      <sz val="11"/>
      <color rgb="FFFF0000"/>
      <name val="Arial"/>
      <family val="2"/>
    </font>
    <font>
      <i/>
      <sz val="10"/>
      <color rgb="FFFF0000"/>
      <name val="Arial"/>
      <family val="2"/>
    </font>
    <font>
      <sz val="11"/>
      <color theme="1"/>
      <name val="Arial"/>
      <family val="2"/>
    </font>
    <font>
      <i/>
      <sz val="10"/>
      <color theme="1"/>
      <name val="Arial"/>
      <family val="2"/>
    </font>
    <font>
      <b/>
      <sz val="11"/>
      <color theme="1"/>
      <name val="Arial"/>
      <family val="2"/>
    </font>
    <font>
      <b/>
      <i/>
      <sz val="11"/>
      <color theme="1"/>
      <name val="Arial"/>
      <family val="2"/>
    </font>
    <font>
      <i/>
      <sz val="9"/>
      <color theme="1"/>
      <name val="Arial"/>
      <family val="2"/>
    </font>
    <font>
      <b/>
      <i/>
      <sz val="10"/>
      <name val="Arial"/>
      <family val="2"/>
    </font>
    <font>
      <sz val="16"/>
      <name val="Calibri"/>
      <family val="2"/>
      <scheme val="minor"/>
    </font>
    <font>
      <b/>
      <sz val="14"/>
      <name val="Calibri"/>
      <family val="2"/>
      <scheme val="minor"/>
    </font>
    <font>
      <b/>
      <sz val="12"/>
      <name val="Calibri"/>
      <family val="2"/>
      <scheme val="minor"/>
    </font>
    <font>
      <sz val="14"/>
      <name val="Calibri"/>
      <family val="2"/>
      <scheme val="minor"/>
    </font>
    <font>
      <i/>
      <sz val="8"/>
      <color indexed="8"/>
      <name val="Calibri"/>
      <family val="2"/>
      <scheme val="minor"/>
    </font>
    <font>
      <sz val="8"/>
      <color indexed="8"/>
      <name val="Calibri"/>
      <family val="2"/>
      <scheme val="minor"/>
    </font>
    <font>
      <i/>
      <sz val="7"/>
      <color theme="1"/>
      <name val="Calibri"/>
      <family val="2"/>
      <scheme val="minor"/>
    </font>
    <font>
      <i/>
      <sz val="7"/>
      <color indexed="8"/>
      <name val="Calibri"/>
      <family val="2"/>
      <scheme val="minor"/>
    </font>
    <font>
      <i/>
      <sz val="9"/>
      <color indexed="8"/>
      <name val="Calibri"/>
      <family val="2"/>
      <scheme val="minor"/>
    </font>
    <font>
      <i/>
      <sz val="10"/>
      <name val="Calibri"/>
      <family val="2"/>
      <scheme val="minor"/>
    </font>
    <font>
      <sz val="10"/>
      <name val="Calibri"/>
      <family val="2"/>
      <scheme val="minor"/>
    </font>
    <font>
      <b/>
      <sz val="18"/>
      <name val="Calibri"/>
      <family val="2"/>
    </font>
    <font>
      <b/>
      <sz val="14"/>
      <color indexed="10"/>
      <name val="Calibri"/>
      <family val="2"/>
    </font>
    <font>
      <b/>
      <sz val="14"/>
      <name val="Calibri"/>
      <family val="2"/>
    </font>
    <font>
      <sz val="8"/>
      <name val="Calibri"/>
      <family val="2"/>
    </font>
    <font>
      <sz val="12"/>
      <name val="Calibri"/>
      <family val="2"/>
    </font>
    <font>
      <sz val="10"/>
      <color indexed="10"/>
      <name val="Calibri"/>
      <family val="2"/>
    </font>
    <font>
      <b/>
      <sz val="11"/>
      <color indexed="12"/>
      <name val="Calibri"/>
      <family val="2"/>
    </font>
    <font>
      <i/>
      <sz val="12"/>
      <name val="Calibri"/>
      <family val="2"/>
    </font>
    <font>
      <b/>
      <sz val="16"/>
      <color indexed="12"/>
      <name val="Calibri"/>
      <family val="2"/>
    </font>
    <font>
      <b/>
      <sz val="14"/>
      <color indexed="12"/>
      <name val="Calibri"/>
      <family val="2"/>
    </font>
    <font>
      <b/>
      <sz val="12"/>
      <name val="Calibri"/>
      <family val="2"/>
    </font>
    <font>
      <b/>
      <sz val="13"/>
      <color indexed="12"/>
      <name val="Calibri"/>
      <family val="2"/>
    </font>
    <font>
      <sz val="11"/>
      <name val="Calibri"/>
      <family val="2"/>
    </font>
    <font>
      <b/>
      <sz val="12"/>
      <color indexed="12"/>
      <name val="Calibri"/>
      <family val="2"/>
    </font>
    <font>
      <i/>
      <sz val="10"/>
      <name val="Calibri"/>
      <family val="2"/>
    </font>
    <font>
      <b/>
      <vertAlign val="superscript"/>
      <sz val="10"/>
      <name val="Calibri"/>
      <family val="2"/>
    </font>
    <font>
      <b/>
      <i/>
      <sz val="10"/>
      <name val="Calibri"/>
      <family val="2"/>
    </font>
    <font>
      <b/>
      <sz val="10"/>
      <color indexed="81"/>
      <name val="Calibri"/>
      <family val="2"/>
    </font>
    <font>
      <b/>
      <sz val="9"/>
      <color indexed="81"/>
      <name val="Tahoma"/>
      <family val="2"/>
    </font>
    <font>
      <sz val="9"/>
      <color indexed="81"/>
      <name val="Tahoma"/>
      <family val="2"/>
    </font>
    <font>
      <b/>
      <sz val="12"/>
      <color indexed="10"/>
      <name val="Calibri"/>
      <family val="2"/>
    </font>
    <font>
      <b/>
      <sz val="12"/>
      <color indexed="8"/>
      <name val="Calibri"/>
      <family val="2"/>
    </font>
    <font>
      <sz val="16"/>
      <name val="Calibri"/>
      <family val="2"/>
    </font>
    <font>
      <b/>
      <sz val="8"/>
      <color indexed="81"/>
      <name val="Calibri"/>
      <family val="2"/>
    </font>
    <font>
      <i/>
      <sz val="10"/>
      <color theme="1"/>
      <name val="Calibri"/>
      <family val="2"/>
      <scheme val="minor"/>
    </font>
    <font>
      <sz val="8"/>
      <color indexed="81"/>
      <name val="Calibri"/>
      <family val="2"/>
      <scheme val="minor"/>
    </font>
    <font>
      <sz val="11"/>
      <name val="Calibri"/>
      <family val="2"/>
      <scheme val="minor"/>
    </font>
    <font>
      <sz val="9"/>
      <name val="Calibri"/>
      <family val="2"/>
      <scheme val="minor"/>
    </font>
    <font>
      <b/>
      <sz val="10"/>
      <name val="Calibri"/>
      <family val="2"/>
      <scheme val="minor"/>
    </font>
    <font>
      <i/>
      <sz val="9"/>
      <name val="Calibri"/>
      <family val="2"/>
      <scheme val="minor"/>
    </font>
    <font>
      <b/>
      <i/>
      <sz val="10"/>
      <name val="Calibri"/>
      <family val="2"/>
      <scheme val="minor"/>
    </font>
    <font>
      <sz val="10"/>
      <color theme="0"/>
      <name val="Calibri"/>
      <family val="2"/>
      <scheme val="minor"/>
    </font>
    <font>
      <b/>
      <sz val="12"/>
      <color rgb="FFFF0000"/>
      <name val="Arial"/>
      <family val="2"/>
    </font>
    <font>
      <sz val="10"/>
      <color theme="1"/>
      <name val="Calibri"/>
      <family val="2"/>
      <scheme val="minor"/>
    </font>
    <font>
      <b/>
      <sz val="12"/>
      <color theme="3" tint="0.39997558519241921"/>
      <name val="Calibri"/>
      <family val="2"/>
      <scheme val="minor"/>
    </font>
    <font>
      <u/>
      <sz val="11"/>
      <color theme="10"/>
      <name val="Arial"/>
      <family val="2"/>
    </font>
    <font>
      <sz val="10"/>
      <color indexed="8"/>
      <name val="Calibri"/>
      <family val="2"/>
    </font>
    <font>
      <sz val="10"/>
      <color indexed="9"/>
      <name val="Calibri"/>
      <family val="2"/>
    </font>
    <font>
      <b/>
      <i/>
      <sz val="11"/>
      <color rgb="FFFF0000"/>
      <name val="Calibri"/>
      <family val="2"/>
      <scheme val="minor"/>
    </font>
    <font>
      <b/>
      <i/>
      <sz val="12"/>
      <color rgb="FFFF0000"/>
      <name val="Calibri"/>
      <family val="2"/>
      <scheme val="minor"/>
    </font>
    <font>
      <u val="singleAccounting"/>
      <sz val="10"/>
      <name val="Arial"/>
      <family val="2"/>
    </font>
    <font>
      <b/>
      <i/>
      <u/>
      <sz val="10"/>
      <name val="Arial"/>
      <family val="2"/>
    </font>
    <font>
      <sz val="8"/>
      <name val="Calibri"/>
      <family val="2"/>
      <scheme val="minor"/>
    </font>
    <font>
      <sz val="9"/>
      <color indexed="10"/>
      <name val="Tahoma"/>
      <family val="2"/>
    </font>
    <font>
      <sz val="9"/>
      <color theme="1"/>
      <name val="Verdana"/>
      <family val="2"/>
    </font>
    <font>
      <i/>
      <sz val="12"/>
      <color theme="1"/>
      <name val="Calibri"/>
      <family val="2"/>
      <scheme val="minor"/>
    </font>
    <font>
      <sz val="10"/>
      <name val="Verdana"/>
      <family val="2"/>
    </font>
    <font>
      <b/>
      <sz val="6"/>
      <name val="Verdana"/>
      <family val="2"/>
    </font>
    <font>
      <sz val="11"/>
      <color theme="0"/>
      <name val="Calibri"/>
      <family val="2"/>
      <scheme val="minor"/>
    </font>
    <font>
      <vertAlign val="superscript"/>
      <sz val="11"/>
      <name val="Arial"/>
      <family val="2"/>
    </font>
    <font>
      <b/>
      <sz val="11"/>
      <color rgb="FFFF0000"/>
      <name val="Calibri"/>
      <family val="2"/>
      <scheme val="minor"/>
    </font>
    <font>
      <i/>
      <sz val="8"/>
      <color rgb="FFFF0000"/>
      <name val="Arial"/>
      <family val="2"/>
    </font>
    <font>
      <sz val="8"/>
      <color indexed="81"/>
      <name val="Segoe UI"/>
      <family val="2"/>
    </font>
    <font>
      <sz val="16"/>
      <color indexed="8"/>
      <name val="Calibri"/>
      <family val="2"/>
      <scheme val="minor"/>
    </font>
    <font>
      <b/>
      <sz val="12"/>
      <color indexed="8"/>
      <name val="Calibri"/>
      <family val="2"/>
      <scheme val="minor"/>
    </font>
    <font>
      <sz val="10"/>
      <color indexed="8"/>
      <name val="Calibri"/>
      <family val="2"/>
      <scheme val="minor"/>
    </font>
    <font>
      <b/>
      <sz val="10"/>
      <color indexed="8"/>
      <name val="Calibri"/>
      <family val="2"/>
      <scheme val="minor"/>
    </font>
    <font>
      <b/>
      <sz val="16"/>
      <color indexed="8"/>
      <name val="Calibri"/>
      <family val="2"/>
      <scheme val="minor"/>
    </font>
    <font>
      <b/>
      <sz val="14"/>
      <color indexed="8"/>
      <name val="Calibri"/>
      <family val="2"/>
      <scheme val="minor"/>
    </font>
    <font>
      <b/>
      <sz val="8"/>
      <color indexed="8"/>
      <name val="Calibri"/>
      <family val="2"/>
      <scheme val="minor"/>
    </font>
    <font>
      <sz val="12"/>
      <color indexed="8"/>
      <name val="Calibri"/>
      <family val="2"/>
      <scheme val="minor"/>
    </font>
    <font>
      <sz val="8"/>
      <color indexed="10"/>
      <name val="Calibri"/>
      <family val="2"/>
      <scheme val="minor"/>
    </font>
    <font>
      <b/>
      <sz val="13"/>
      <color indexed="12"/>
      <name val="Calibri"/>
      <family val="2"/>
      <scheme val="minor"/>
    </font>
    <font>
      <b/>
      <sz val="10"/>
      <color rgb="FFCD6969"/>
      <name val="Calibri"/>
      <family val="2"/>
      <scheme val="minor"/>
    </font>
    <font>
      <b/>
      <sz val="10"/>
      <color theme="3" tint="0.39997558519241921"/>
      <name val="Calibri"/>
      <family val="2"/>
      <scheme val="minor"/>
    </font>
    <font>
      <b/>
      <sz val="9"/>
      <color indexed="8"/>
      <name val="Calibri"/>
      <family val="2"/>
      <scheme val="minor"/>
    </font>
    <font>
      <sz val="7"/>
      <color indexed="8"/>
      <name val="Calibri"/>
      <family val="2"/>
      <scheme val="minor"/>
    </font>
    <font>
      <b/>
      <sz val="10"/>
      <color theme="1"/>
      <name val="Calibri"/>
      <family val="2"/>
      <scheme val="minor"/>
    </font>
    <font>
      <sz val="10"/>
      <color rgb="FFFF0000"/>
      <name val="Calibri"/>
      <family val="2"/>
      <scheme val="minor"/>
    </font>
    <font>
      <sz val="7"/>
      <color theme="1"/>
      <name val="Calibri"/>
      <family val="2"/>
      <scheme val="minor"/>
    </font>
    <font>
      <sz val="9"/>
      <color rgb="FFFF0000"/>
      <name val="Calibri"/>
      <family val="2"/>
      <scheme val="minor"/>
    </font>
    <font>
      <sz val="9"/>
      <color theme="9" tint="-0.499984740745262"/>
      <name val="Calibri"/>
      <family val="2"/>
      <scheme val="minor"/>
    </font>
    <font>
      <b/>
      <sz val="10"/>
      <color rgb="FF00B050"/>
      <name val="Calibri"/>
      <family val="2"/>
      <scheme val="minor"/>
    </font>
    <font>
      <sz val="8"/>
      <color theme="1"/>
      <name val="Calibri"/>
      <family val="2"/>
      <scheme val="minor"/>
    </font>
    <font>
      <sz val="8"/>
      <color rgb="FFFF0000"/>
      <name val="Calibri"/>
      <family val="2"/>
      <scheme val="minor"/>
    </font>
    <font>
      <b/>
      <sz val="10"/>
      <color rgb="FF002060"/>
      <name val="Calibri"/>
      <family val="2"/>
      <scheme val="minor"/>
    </font>
    <font>
      <i/>
      <sz val="7"/>
      <name val="Calibri"/>
      <family val="2"/>
      <scheme val="minor"/>
    </font>
    <font>
      <sz val="10"/>
      <color indexed="9"/>
      <name val="Calibri"/>
      <family val="2"/>
      <scheme val="minor"/>
    </font>
    <font>
      <b/>
      <i/>
      <sz val="10"/>
      <color indexed="8"/>
      <name val="Calibri"/>
      <family val="2"/>
      <scheme val="minor"/>
    </font>
    <font>
      <b/>
      <sz val="10"/>
      <color indexed="46"/>
      <name val="Calibri"/>
      <family val="2"/>
      <scheme val="minor"/>
    </font>
    <font>
      <b/>
      <sz val="10"/>
      <color indexed="10"/>
      <name val="Calibri"/>
      <family val="2"/>
      <scheme val="minor"/>
    </font>
    <font>
      <sz val="7"/>
      <name val="Calibri"/>
      <family val="2"/>
      <scheme val="minor"/>
    </font>
    <font>
      <sz val="9"/>
      <color indexed="8"/>
      <name val="Calibri"/>
      <family val="2"/>
      <scheme val="minor"/>
    </font>
    <font>
      <i/>
      <strike/>
      <sz val="10"/>
      <color indexed="8"/>
      <name val="Calibri"/>
      <family val="2"/>
      <scheme val="minor"/>
    </font>
    <font>
      <b/>
      <sz val="11"/>
      <color indexed="8"/>
      <name val="Calibri"/>
      <family val="2"/>
      <scheme val="minor"/>
    </font>
    <font>
      <sz val="12"/>
      <name val="Calibri"/>
      <family val="2"/>
      <scheme val="minor"/>
    </font>
    <font>
      <sz val="6"/>
      <name val="Calibri"/>
      <family val="2"/>
      <scheme val="minor"/>
    </font>
    <font>
      <b/>
      <sz val="9"/>
      <color indexed="12"/>
      <name val="Calibri"/>
      <family val="2"/>
      <scheme val="minor"/>
    </font>
    <font>
      <b/>
      <sz val="10"/>
      <color indexed="12"/>
      <name val="Calibri"/>
      <family val="2"/>
      <scheme val="minor"/>
    </font>
    <font>
      <b/>
      <sz val="12"/>
      <color indexed="12"/>
      <name val="Calibri"/>
      <family val="2"/>
      <scheme val="minor"/>
    </font>
    <font>
      <i/>
      <sz val="10"/>
      <color indexed="8"/>
      <name val="Calibri"/>
      <family val="2"/>
      <scheme val="minor"/>
    </font>
    <font>
      <b/>
      <sz val="10"/>
      <color rgb="FF0070C0"/>
      <name val="Calibri"/>
      <family val="2"/>
      <scheme val="minor"/>
    </font>
    <font>
      <b/>
      <sz val="10"/>
      <color rgb="FFFF0000"/>
      <name val="Calibri"/>
      <family val="2"/>
      <scheme val="minor"/>
    </font>
    <font>
      <b/>
      <sz val="10.5"/>
      <color indexed="8"/>
      <name val="Calibri"/>
      <family val="2"/>
      <scheme val="minor"/>
    </font>
    <font>
      <sz val="12"/>
      <color theme="1"/>
      <name val="Calibri"/>
      <family val="2"/>
      <scheme val="minor"/>
    </font>
    <font>
      <b/>
      <sz val="12"/>
      <color theme="1"/>
      <name val="Calibri"/>
      <family val="2"/>
      <scheme val="minor"/>
    </font>
    <font>
      <sz val="12"/>
      <color indexed="9"/>
      <name val="Calibri"/>
      <family val="2"/>
      <scheme val="minor"/>
    </font>
    <font>
      <i/>
      <sz val="12"/>
      <color indexed="8"/>
      <name val="Calibri"/>
      <family val="2"/>
      <scheme val="minor"/>
    </font>
    <font>
      <b/>
      <sz val="10"/>
      <color theme="5" tint="-0.24994659260841701"/>
      <name val="Calibri"/>
      <family val="2"/>
      <scheme val="minor"/>
    </font>
    <font>
      <b/>
      <vertAlign val="subscript"/>
      <sz val="10"/>
      <color theme="1"/>
      <name val="Calibri"/>
      <family val="2"/>
      <scheme val="minor"/>
    </font>
    <font>
      <b/>
      <sz val="10"/>
      <color indexed="61"/>
      <name val="Calibri"/>
      <family val="2"/>
      <scheme val="minor"/>
    </font>
    <font>
      <sz val="8"/>
      <color theme="0"/>
      <name val="Calibri"/>
      <family val="2"/>
      <scheme val="minor"/>
    </font>
    <font>
      <vertAlign val="subscript"/>
      <sz val="10"/>
      <color theme="1"/>
      <name val="Calibri"/>
      <family val="2"/>
      <scheme val="minor"/>
    </font>
    <font>
      <b/>
      <i/>
      <sz val="8"/>
      <color indexed="8"/>
      <name val="Calibri"/>
      <family val="2"/>
      <scheme val="minor"/>
    </font>
    <font>
      <b/>
      <i/>
      <sz val="8"/>
      <color indexed="61"/>
      <name val="Calibri"/>
      <family val="2"/>
      <scheme val="minor"/>
    </font>
    <font>
      <sz val="10"/>
      <color indexed="10"/>
      <name val="Calibri"/>
      <family val="2"/>
      <scheme val="minor"/>
    </font>
    <font>
      <b/>
      <sz val="10"/>
      <color theme="0"/>
      <name val="Calibri"/>
      <family val="2"/>
      <scheme val="minor"/>
    </font>
    <font>
      <sz val="9"/>
      <color theme="0"/>
      <name val="Calibri"/>
      <family val="2"/>
      <scheme val="minor"/>
    </font>
    <font>
      <b/>
      <sz val="11"/>
      <name val="Calibri"/>
      <family val="2"/>
      <scheme val="minor"/>
    </font>
    <font>
      <b/>
      <i/>
      <sz val="12"/>
      <color theme="3" tint="-0.249977111117893"/>
      <name val="Calibri"/>
      <family val="2"/>
      <scheme val="minor"/>
    </font>
    <font>
      <b/>
      <sz val="10"/>
      <color theme="0" tint="-0.249977111117893"/>
      <name val="Calibri"/>
      <family val="2"/>
      <scheme val="minor"/>
    </font>
    <font>
      <b/>
      <sz val="10"/>
      <color theme="3" tint="-0.499984740745262"/>
      <name val="Calibri"/>
      <family val="2"/>
      <scheme val="minor"/>
    </font>
    <font>
      <b/>
      <sz val="10"/>
      <color rgb="FF008000"/>
      <name val="Calibri"/>
      <family val="2"/>
      <scheme val="minor"/>
    </font>
    <font>
      <vertAlign val="superscript"/>
      <sz val="9"/>
      <name val="Calibri"/>
      <family val="2"/>
      <scheme val="minor"/>
    </font>
    <font>
      <b/>
      <sz val="9"/>
      <color theme="1"/>
      <name val="Calibri"/>
      <family val="2"/>
      <scheme val="minor"/>
    </font>
    <font>
      <b/>
      <sz val="9"/>
      <color rgb="FFFF0000"/>
      <name val="Calibri"/>
      <family val="2"/>
      <scheme val="minor"/>
    </font>
    <font>
      <b/>
      <sz val="6"/>
      <name val="Calibri"/>
      <family val="2"/>
      <scheme val="minor"/>
    </font>
    <font>
      <sz val="9"/>
      <color theme="0" tint="-0.249977111117893"/>
      <name val="Calibri"/>
      <family val="2"/>
      <scheme val="minor"/>
    </font>
    <font>
      <vertAlign val="subscript"/>
      <sz val="8"/>
      <name val="Calibri"/>
      <family val="2"/>
      <scheme val="minor"/>
    </font>
    <font>
      <b/>
      <sz val="9"/>
      <color theme="6" tint="-0.499984740745262"/>
      <name val="Calibri"/>
      <family val="2"/>
      <scheme val="minor"/>
    </font>
    <font>
      <vertAlign val="subscript"/>
      <sz val="9"/>
      <name val="Calibri"/>
      <family val="2"/>
      <scheme val="minor"/>
    </font>
    <font>
      <b/>
      <sz val="8"/>
      <color rgb="FF0070C0"/>
      <name val="Calibri"/>
      <family val="2"/>
      <scheme val="minor"/>
    </font>
    <font>
      <b/>
      <sz val="8"/>
      <name val="Calibri"/>
      <family val="2"/>
      <scheme val="minor"/>
    </font>
    <font>
      <vertAlign val="superscript"/>
      <sz val="10"/>
      <name val="Calibri"/>
      <family val="2"/>
      <scheme val="minor"/>
    </font>
    <font>
      <b/>
      <u/>
      <sz val="11"/>
      <name val="Calibri"/>
      <family val="2"/>
      <scheme val="minor"/>
    </font>
    <font>
      <b/>
      <sz val="14"/>
      <color indexed="56"/>
      <name val="Calibri"/>
      <family val="2"/>
      <scheme val="minor"/>
    </font>
    <font>
      <i/>
      <sz val="11"/>
      <name val="Calibri"/>
      <family val="2"/>
      <scheme val="minor"/>
    </font>
    <font>
      <b/>
      <i/>
      <sz val="14"/>
      <color theme="3"/>
      <name val="Calibri"/>
      <family val="2"/>
      <scheme val="minor"/>
    </font>
    <font>
      <b/>
      <sz val="12"/>
      <color rgb="FF002060"/>
      <name val="Calibri"/>
      <family val="2"/>
      <scheme val="minor"/>
    </font>
    <font>
      <b/>
      <sz val="9"/>
      <color rgb="FF002060"/>
      <name val="Calibri"/>
      <family val="2"/>
      <scheme val="minor"/>
    </font>
    <font>
      <b/>
      <sz val="12"/>
      <color rgb="FFFF0000"/>
      <name val="Calibri"/>
      <family val="2"/>
      <scheme val="minor"/>
    </font>
    <font>
      <b/>
      <i/>
      <sz val="12"/>
      <color theme="3"/>
      <name val="Calibri"/>
      <family val="2"/>
      <scheme val="minor"/>
    </font>
    <font>
      <b/>
      <i/>
      <sz val="11"/>
      <color theme="3"/>
      <name val="Calibri"/>
      <family val="2"/>
      <scheme val="minor"/>
    </font>
    <font>
      <u/>
      <sz val="11"/>
      <name val="Calibri"/>
      <family val="2"/>
      <scheme val="minor"/>
    </font>
    <font>
      <sz val="7.1"/>
      <color indexed="8"/>
      <name val="Calibri"/>
      <family val="2"/>
      <scheme val="minor"/>
    </font>
    <font>
      <i/>
      <sz val="9"/>
      <color theme="0"/>
      <name val="Calibri"/>
      <family val="2"/>
      <scheme val="minor"/>
    </font>
    <font>
      <sz val="11"/>
      <color theme="1"/>
      <name val="Calibri"/>
      <family val="2"/>
      <scheme val="minor"/>
    </font>
    <font>
      <sz val="9"/>
      <color theme="1"/>
      <name val="Calibri"/>
      <family val="2"/>
      <scheme val="minor"/>
    </font>
    <font>
      <b/>
      <u val="singleAccounting"/>
      <sz val="10"/>
      <name val="Calibri"/>
      <family val="2"/>
      <scheme val="minor"/>
    </font>
    <font>
      <u val="singleAccounting"/>
      <sz val="10"/>
      <name val="Calibri"/>
      <family val="2"/>
      <scheme val="minor"/>
    </font>
    <font>
      <sz val="11"/>
      <color rgb="FFFF0000"/>
      <name val="Calibri"/>
      <family val="2"/>
      <scheme val="minor"/>
    </font>
    <font>
      <u val="singleAccounting"/>
      <sz val="11"/>
      <color theme="4" tint="-0.249977111117893"/>
      <name val="Calibri"/>
      <family val="2"/>
      <scheme val="minor"/>
    </font>
    <font>
      <sz val="9.5"/>
      <color rgb="FFFF0000"/>
      <name val="Calibri"/>
      <family val="2"/>
      <scheme val="minor"/>
    </font>
    <font>
      <u val="doubleAccounting"/>
      <sz val="10"/>
      <name val="Calibri"/>
      <family val="2"/>
      <scheme val="minor"/>
    </font>
    <font>
      <b/>
      <sz val="15"/>
      <name val="Calibri"/>
      <family val="2"/>
      <scheme val="minor"/>
    </font>
    <font>
      <sz val="5"/>
      <name val="Calibri"/>
      <family val="2"/>
      <scheme val="minor"/>
    </font>
    <font>
      <b/>
      <sz val="7"/>
      <name val="Calibri"/>
      <family val="2"/>
      <scheme val="minor"/>
    </font>
    <font>
      <b/>
      <sz val="16"/>
      <name val="Calibri"/>
      <family val="2"/>
      <scheme val="minor"/>
    </font>
    <font>
      <b/>
      <sz val="9"/>
      <name val="Calibri"/>
      <family val="2"/>
      <scheme val="minor"/>
    </font>
    <font>
      <b/>
      <sz val="11"/>
      <color indexed="10"/>
      <name val="Calibri"/>
      <family val="2"/>
      <scheme val="minor"/>
    </font>
    <font>
      <sz val="8"/>
      <color indexed="9"/>
      <name val="Calibri"/>
      <family val="2"/>
      <scheme val="minor"/>
    </font>
    <font>
      <sz val="11"/>
      <color indexed="9"/>
      <name val="Calibri"/>
      <family val="2"/>
      <scheme val="minor"/>
    </font>
    <font>
      <b/>
      <sz val="20"/>
      <name val="Calibri"/>
      <family val="2"/>
      <scheme val="minor"/>
    </font>
    <font>
      <sz val="20"/>
      <name val="Calibri"/>
      <family val="2"/>
      <scheme val="minor"/>
    </font>
    <font>
      <b/>
      <sz val="20"/>
      <color indexed="8"/>
      <name val="Calibri"/>
      <family val="2"/>
      <scheme val="minor"/>
    </font>
    <font>
      <b/>
      <strike/>
      <sz val="10"/>
      <color indexed="8"/>
      <name val="Calibri"/>
      <family val="2"/>
      <scheme val="minor"/>
    </font>
    <font>
      <b/>
      <sz val="22"/>
      <color indexed="10"/>
      <name val="Calibri"/>
      <family val="2"/>
      <scheme val="minor"/>
    </font>
    <font>
      <b/>
      <sz val="12"/>
      <color indexed="18"/>
      <name val="Calibri"/>
      <family val="2"/>
      <scheme val="minor"/>
    </font>
    <font>
      <b/>
      <sz val="5"/>
      <color indexed="18"/>
      <name val="Calibri"/>
      <family val="2"/>
      <scheme val="minor"/>
    </font>
    <font>
      <i/>
      <sz val="5.5"/>
      <color indexed="8"/>
      <name val="Calibri"/>
      <family val="2"/>
      <scheme val="minor"/>
    </font>
    <font>
      <sz val="5.5"/>
      <color indexed="8"/>
      <name val="Calibri"/>
      <family val="2"/>
      <scheme val="minor"/>
    </font>
    <font>
      <i/>
      <sz val="10"/>
      <color indexed="12"/>
      <name val="Calibri"/>
      <family val="2"/>
      <scheme val="minor"/>
    </font>
    <font>
      <sz val="10"/>
      <color indexed="12"/>
      <name val="Calibri"/>
      <family val="2"/>
      <scheme val="minor"/>
    </font>
    <font>
      <i/>
      <sz val="10"/>
      <color theme="0"/>
      <name val="Calibri"/>
      <family val="2"/>
      <scheme val="minor"/>
    </font>
    <font>
      <sz val="6"/>
      <name val="Calibri"/>
      <family val="2"/>
    </font>
    <font>
      <u/>
      <sz val="8.5"/>
      <color indexed="9"/>
      <name val="Calibri"/>
      <family val="2"/>
    </font>
    <font>
      <b/>
      <sz val="10"/>
      <color indexed="12"/>
      <name val="Calibri"/>
      <family val="2"/>
    </font>
    <font>
      <b/>
      <vertAlign val="superscript"/>
      <sz val="11"/>
      <name val="Calibri"/>
      <family val="2"/>
    </font>
    <font>
      <b/>
      <sz val="11"/>
      <name val="Calibri"/>
      <family val="2"/>
    </font>
    <font>
      <b/>
      <sz val="11"/>
      <color indexed="48"/>
      <name val="Calibri"/>
      <family val="2"/>
    </font>
    <font>
      <b/>
      <sz val="16"/>
      <color indexed="8"/>
      <name val="Calibri"/>
      <family val="2"/>
    </font>
    <font>
      <sz val="11"/>
      <color indexed="8"/>
      <name val="Calibri"/>
      <family val="2"/>
      <scheme val="minor"/>
    </font>
    <font>
      <b/>
      <sz val="9.5"/>
      <color indexed="10"/>
      <name val="Calibri"/>
      <family val="2"/>
      <scheme val="minor"/>
    </font>
    <font>
      <b/>
      <sz val="11"/>
      <color indexed="12"/>
      <name val="Calibri"/>
      <family val="2"/>
      <scheme val="minor"/>
    </font>
    <font>
      <b/>
      <sz val="18"/>
      <color indexed="10"/>
      <name val="Calibri"/>
      <family val="2"/>
      <scheme val="minor"/>
    </font>
    <font>
      <b/>
      <vertAlign val="superscript"/>
      <sz val="10"/>
      <name val="Calibri"/>
      <family val="2"/>
      <scheme val="minor"/>
    </font>
    <font>
      <b/>
      <vertAlign val="superscript"/>
      <sz val="11"/>
      <name val="Calibri"/>
      <family val="2"/>
      <scheme val="minor"/>
    </font>
    <font>
      <b/>
      <sz val="16"/>
      <color indexed="12"/>
      <name val="Calibri"/>
      <family val="2"/>
      <scheme val="minor"/>
    </font>
    <font>
      <b/>
      <i/>
      <sz val="10"/>
      <color rgb="FF7030A0"/>
      <name val="Calibri"/>
      <family val="2"/>
      <scheme val="minor"/>
    </font>
    <font>
      <b/>
      <i/>
      <sz val="10"/>
      <color rgb="FFFF0000"/>
      <name val="Calibri"/>
      <family val="2"/>
      <scheme val="minor"/>
    </font>
    <font>
      <sz val="12"/>
      <color theme="0" tint="-0.34998626667073579"/>
      <name val="Calibri"/>
      <family val="2"/>
      <scheme val="minor"/>
    </font>
    <font>
      <b/>
      <sz val="8"/>
      <color indexed="10"/>
      <name val="Calibri"/>
      <family val="2"/>
      <scheme val="minor"/>
    </font>
    <font>
      <b/>
      <sz val="7"/>
      <color theme="0"/>
      <name val="Calibri"/>
      <family val="2"/>
      <scheme val="minor"/>
    </font>
    <font>
      <b/>
      <u/>
      <sz val="7"/>
      <color theme="0"/>
      <name val="Calibri"/>
      <family val="2"/>
      <scheme val="minor"/>
    </font>
    <font>
      <b/>
      <sz val="7"/>
      <color rgb="FFFF0000"/>
      <name val="Calibri"/>
      <family val="2"/>
      <scheme val="minor"/>
    </font>
    <font>
      <b/>
      <sz val="14"/>
      <color theme="0"/>
      <name val="Calibri"/>
      <family val="2"/>
      <scheme val="minor"/>
    </font>
    <font>
      <b/>
      <sz val="18"/>
      <name val="Calibri"/>
      <family val="2"/>
      <scheme val="minor"/>
    </font>
    <font>
      <vertAlign val="subscript"/>
      <sz val="10"/>
      <name val="Calibri"/>
      <family val="2"/>
      <scheme val="minor"/>
    </font>
    <font>
      <sz val="7"/>
      <color theme="0" tint="-0.499984740745262"/>
      <name val="Calibri"/>
      <family val="2"/>
      <scheme val="minor"/>
    </font>
    <font>
      <sz val="8"/>
      <color indexed="61"/>
      <name val="Calibri"/>
      <family val="2"/>
      <scheme val="minor"/>
    </font>
    <font>
      <sz val="4"/>
      <color indexed="8"/>
      <name val="Calibri"/>
      <family val="2"/>
      <scheme val="minor"/>
    </font>
    <font>
      <b/>
      <sz val="14"/>
      <color rgb="FFFF0000"/>
      <name val="Calibri"/>
      <family val="2"/>
    </font>
    <font>
      <b/>
      <sz val="13"/>
      <name val="Calibri"/>
      <family val="2"/>
    </font>
    <font>
      <sz val="10"/>
      <color rgb="FFFF0000"/>
      <name val="Calibri"/>
      <family val="2"/>
    </font>
    <font>
      <sz val="9"/>
      <color rgb="FFFF0000"/>
      <name val="Calibri"/>
      <family val="2"/>
    </font>
    <font>
      <sz val="9"/>
      <name val="Calibri"/>
      <family val="2"/>
    </font>
    <font>
      <u/>
      <sz val="16"/>
      <name val="Calibri"/>
      <family val="2"/>
    </font>
    <font>
      <b/>
      <sz val="10"/>
      <color indexed="81"/>
      <name val="Calibri"/>
      <family val="2"/>
      <scheme val="minor"/>
    </font>
    <font>
      <b/>
      <sz val="16"/>
      <name val="Calibri"/>
      <family val="2"/>
    </font>
    <font>
      <b/>
      <sz val="12"/>
      <color theme="0"/>
      <name val="Calibri"/>
      <family val="2"/>
    </font>
    <font>
      <sz val="10"/>
      <color theme="0"/>
      <name val="Calibri"/>
      <family val="2"/>
    </font>
    <font>
      <b/>
      <sz val="12"/>
      <color theme="3" tint="-0.499984740745262"/>
      <name val="Calibri"/>
      <family val="2"/>
    </font>
    <font>
      <b/>
      <sz val="9"/>
      <color theme="1"/>
      <name val="Lucida Sans Unicode"/>
      <family val="2"/>
    </font>
    <font>
      <b/>
      <u/>
      <sz val="9"/>
      <color theme="1"/>
      <name val="Lucida Sans Unicode"/>
      <family val="2"/>
    </font>
    <font>
      <sz val="9"/>
      <color theme="1"/>
      <name val="Lucida Sans Unicode"/>
      <family val="2"/>
    </font>
    <font>
      <sz val="11"/>
      <color theme="1"/>
      <name val="Lucida Sans Unicode"/>
      <family val="2"/>
    </font>
    <font>
      <sz val="11"/>
      <name val="Lucida Sans Unicode"/>
      <family val="2"/>
    </font>
    <font>
      <b/>
      <u/>
      <sz val="8"/>
      <color theme="1"/>
      <name val="Lucida Sans Unicode"/>
      <family val="2"/>
    </font>
    <font>
      <sz val="8"/>
      <color theme="1"/>
      <name val="Lucida Sans Unicode"/>
      <family val="2"/>
    </font>
    <font>
      <sz val="11"/>
      <color rgb="FFFF0000"/>
      <name val="Lucida Sans Unicode"/>
      <family val="2"/>
    </font>
    <font>
      <b/>
      <i/>
      <u/>
      <sz val="14"/>
      <color theme="3"/>
      <name val="Calibri"/>
      <family val="2"/>
      <scheme val="minor"/>
    </font>
    <font>
      <strike/>
      <sz val="11"/>
      <name val="Arial"/>
      <family val="2"/>
    </font>
    <font>
      <strike/>
      <sz val="11"/>
      <color rgb="FFFF0000"/>
      <name val="Arial"/>
      <family val="2"/>
    </font>
    <font>
      <b/>
      <sz val="9"/>
      <color theme="1"/>
      <name val="Arial"/>
      <family val="2"/>
    </font>
    <font>
      <b/>
      <sz val="8"/>
      <name val="Arial"/>
      <family val="2"/>
    </font>
    <font>
      <b/>
      <sz val="9"/>
      <color indexed="10"/>
      <name val="Segoe UI"/>
      <family val="2"/>
    </font>
    <font>
      <b/>
      <sz val="12"/>
      <color indexed="10"/>
      <name val="Segoe UI"/>
      <family val="2"/>
    </font>
    <font>
      <sz val="12"/>
      <color indexed="81"/>
      <name val="Segoe UI"/>
      <family val="2"/>
    </font>
    <font>
      <b/>
      <sz val="12"/>
      <color indexed="81"/>
      <name val="Segoe UI"/>
      <family val="2"/>
    </font>
    <font>
      <b/>
      <sz val="10"/>
      <color indexed="8"/>
      <name val="Arial"/>
      <family val="2"/>
    </font>
    <font>
      <b/>
      <sz val="12"/>
      <color rgb="FF00B0F0"/>
      <name val="Calibri"/>
      <family val="2"/>
    </font>
    <font>
      <b/>
      <u/>
      <sz val="16"/>
      <name val="Calibri"/>
      <family val="2"/>
    </font>
    <font>
      <b/>
      <sz val="12"/>
      <color rgb="FF0070C0"/>
      <name val="Calibri"/>
      <family val="2"/>
    </font>
    <font>
      <b/>
      <sz val="8"/>
      <name val="Calibri"/>
      <family val="2"/>
    </font>
    <font>
      <sz val="12"/>
      <color rgb="FF0070C0"/>
      <name val="Calibri"/>
      <family val="2"/>
    </font>
    <font>
      <b/>
      <sz val="12"/>
      <color rgb="FFFF0000"/>
      <name val="Calibri"/>
      <family val="2"/>
    </font>
    <font>
      <b/>
      <u/>
      <sz val="12"/>
      <color rgb="FFFF0000"/>
      <name val="Calibri"/>
      <family val="2"/>
    </font>
    <font>
      <b/>
      <sz val="10"/>
      <color theme="0"/>
      <name val="Arial"/>
      <family val="2"/>
    </font>
    <font>
      <b/>
      <i/>
      <sz val="10"/>
      <color theme="0"/>
      <name val="Arial"/>
      <family val="2"/>
    </font>
    <font>
      <b/>
      <u val="singleAccounting"/>
      <sz val="10"/>
      <color theme="0"/>
      <name val="Arial"/>
      <family val="2"/>
    </font>
    <font>
      <sz val="12"/>
      <color theme="0"/>
      <name val="Arial"/>
      <family val="2"/>
    </font>
    <font>
      <b/>
      <sz val="12"/>
      <color theme="0"/>
      <name val="Arial"/>
      <family val="2"/>
    </font>
    <font>
      <u/>
      <sz val="10"/>
      <color theme="0"/>
      <name val="Arial"/>
      <family val="2"/>
    </font>
    <font>
      <u/>
      <sz val="9"/>
      <color theme="0"/>
      <name val="Arial"/>
      <family val="2"/>
    </font>
    <font>
      <sz val="9"/>
      <color theme="0"/>
      <name val="Arial"/>
      <family val="2"/>
    </font>
    <font>
      <b/>
      <sz val="11"/>
      <color theme="0"/>
      <name val="Arial"/>
      <family val="2"/>
    </font>
    <font>
      <sz val="12"/>
      <color theme="1"/>
      <name val="Arial"/>
      <family val="2"/>
    </font>
    <font>
      <b/>
      <sz val="10"/>
      <color rgb="FFFF0000"/>
      <name val="Arial"/>
      <family val="2"/>
    </font>
    <font>
      <b/>
      <sz val="12"/>
      <color theme="1"/>
      <name val="Arial"/>
      <family val="2"/>
    </font>
    <font>
      <b/>
      <sz val="12"/>
      <color rgb="FF0070C0"/>
      <name val="Arial"/>
      <family val="2"/>
    </font>
    <font>
      <b/>
      <u/>
      <sz val="12"/>
      <color theme="1"/>
      <name val="Arial"/>
      <family val="2"/>
    </font>
    <font>
      <b/>
      <u/>
      <sz val="12"/>
      <name val="Arial"/>
      <family val="2"/>
    </font>
    <font>
      <u/>
      <sz val="12"/>
      <name val="Arial"/>
      <family val="2"/>
    </font>
    <font>
      <sz val="12"/>
      <name val="Wingdings"/>
      <charset val="2"/>
    </font>
    <font>
      <sz val="8"/>
      <color theme="1"/>
      <name val="Arial"/>
      <family val="2"/>
    </font>
    <font>
      <sz val="7"/>
      <color theme="1"/>
      <name val="Arial"/>
      <family val="2"/>
    </font>
    <font>
      <u/>
      <sz val="12"/>
      <color theme="1"/>
      <name val="Arial"/>
      <family val="2"/>
    </font>
    <font>
      <sz val="8"/>
      <color theme="0"/>
      <name val="Arial"/>
      <family val="2"/>
    </font>
    <font>
      <sz val="11"/>
      <color rgb="FF0000FF"/>
      <name val="Arial"/>
      <family val="2"/>
    </font>
    <font>
      <sz val="10"/>
      <color theme="1"/>
      <name val="Tahoma"/>
      <family val="2"/>
    </font>
    <font>
      <i/>
      <sz val="12"/>
      <color theme="1"/>
      <name val="Arial"/>
      <family val="2"/>
    </font>
    <font>
      <b/>
      <i/>
      <u/>
      <sz val="10"/>
      <color rgb="FFFF0000"/>
      <name val="Calibri"/>
      <family val="2"/>
      <scheme val="minor"/>
    </font>
    <font>
      <i/>
      <sz val="12"/>
      <name val="Arial"/>
      <family val="2"/>
    </font>
    <font>
      <u/>
      <sz val="10"/>
      <color theme="1"/>
      <name val="Arial"/>
      <family val="2"/>
    </font>
    <font>
      <u/>
      <sz val="11"/>
      <color theme="1"/>
      <name val="Calibri"/>
      <family val="2"/>
      <scheme val="minor"/>
    </font>
    <font>
      <i/>
      <u/>
      <sz val="10"/>
      <color theme="1"/>
      <name val="Calibri"/>
      <family val="2"/>
      <scheme val="minor"/>
    </font>
    <font>
      <i/>
      <sz val="11"/>
      <color theme="1"/>
      <name val="Calibri"/>
      <family val="2"/>
      <scheme val="minor"/>
    </font>
    <font>
      <i/>
      <sz val="8"/>
      <name val="Arial"/>
      <family val="2"/>
    </font>
    <font>
      <b/>
      <i/>
      <sz val="11"/>
      <name val="Arial"/>
      <family val="2"/>
    </font>
    <font>
      <i/>
      <sz val="11"/>
      <color rgb="FFFF0000"/>
      <name val="Arial"/>
      <family val="2"/>
    </font>
    <font>
      <i/>
      <sz val="11"/>
      <color theme="0"/>
      <name val="Arial"/>
      <family val="2"/>
    </font>
    <font>
      <sz val="10"/>
      <color theme="1" tint="0.34998626667073579"/>
      <name val="Calibri"/>
      <family val="2"/>
      <scheme val="minor"/>
    </font>
    <font>
      <b/>
      <u/>
      <sz val="12"/>
      <name val="Calibri"/>
      <family val="2"/>
    </font>
    <font>
      <b/>
      <sz val="16"/>
      <name val="Calibri  "/>
    </font>
    <font>
      <sz val="11"/>
      <color theme="1"/>
      <name val="Calibri  "/>
    </font>
    <font>
      <sz val="16"/>
      <name val="Calibri  "/>
    </font>
    <font>
      <b/>
      <sz val="11"/>
      <name val="Calibri  "/>
    </font>
    <font>
      <u/>
      <sz val="11"/>
      <color theme="1" tint="0.34998626667073579"/>
      <name val="Calibri"/>
      <family val="2"/>
      <scheme val="minor"/>
    </font>
    <font>
      <sz val="11"/>
      <color theme="1" tint="0.34998626667073579"/>
      <name val="Calibri"/>
      <family val="2"/>
      <scheme val="minor"/>
    </font>
    <font>
      <sz val="11"/>
      <name val="Calibri  "/>
    </font>
    <font>
      <i/>
      <sz val="11"/>
      <color theme="1" tint="0.34998626667073579"/>
      <name val="Calibri"/>
      <family val="2"/>
      <scheme val="minor"/>
    </font>
    <font>
      <b/>
      <sz val="11"/>
      <color theme="1" tint="0.34998626667073579"/>
      <name val="Calibri"/>
      <family val="2"/>
      <scheme val="minor"/>
    </font>
    <font>
      <b/>
      <sz val="11"/>
      <color theme="1"/>
      <name val="Calibri"/>
      <family val="2"/>
      <scheme val="minor"/>
    </font>
    <font>
      <i/>
      <sz val="11"/>
      <color rgb="FF0000FF"/>
      <name val="Calibri"/>
      <family val="2"/>
      <scheme val="minor"/>
    </font>
    <font>
      <b/>
      <u/>
      <sz val="11"/>
      <color theme="1"/>
      <name val="Calibri"/>
      <family val="2"/>
      <scheme val="minor"/>
    </font>
    <font>
      <b/>
      <u/>
      <sz val="11"/>
      <name val="Calibri"/>
      <family val="2"/>
    </font>
    <font>
      <sz val="10"/>
      <color theme="1" tint="0.34998626667073579"/>
      <name val="Arial"/>
      <family val="2"/>
    </font>
    <font>
      <b/>
      <u/>
      <sz val="11"/>
      <color theme="1" tint="0.34998626667073579"/>
      <name val="Calibri"/>
      <family val="2"/>
      <scheme val="minor"/>
    </font>
    <font>
      <sz val="11"/>
      <color theme="1" tint="0.34998626667073579"/>
      <name val="Arial"/>
      <family val="2"/>
    </font>
    <font>
      <b/>
      <sz val="11"/>
      <color theme="1" tint="0.34998626667073579"/>
      <name val="Calibri"/>
      <family val="2"/>
    </font>
    <font>
      <b/>
      <strike/>
      <sz val="10"/>
      <color indexed="48"/>
      <name val="Arial"/>
      <family val="2"/>
    </font>
    <font>
      <strike/>
      <sz val="10"/>
      <name val="Arial"/>
      <family val="2"/>
    </font>
    <font>
      <u/>
      <sz val="10"/>
      <color indexed="8"/>
      <name val="Calibri"/>
      <family val="2"/>
      <scheme val="minor"/>
    </font>
    <font>
      <b/>
      <sz val="12"/>
      <color theme="1" tint="0.34998626667073579"/>
      <name val="Calibri"/>
      <family val="2"/>
    </font>
    <font>
      <b/>
      <sz val="12"/>
      <color theme="1" tint="0.34998626667073579"/>
      <name val="Calibri"/>
      <family val="2"/>
      <scheme val="minor"/>
    </font>
    <font>
      <sz val="12"/>
      <color theme="1" tint="0.34998626667073579"/>
      <name val="Calibri"/>
      <family val="2"/>
      <scheme val="minor"/>
    </font>
    <font>
      <i/>
      <u/>
      <sz val="12"/>
      <name val="Calibri"/>
      <family val="2"/>
    </font>
    <font>
      <b/>
      <u/>
      <sz val="11"/>
      <color theme="0"/>
      <name val="Calibri"/>
      <family val="2"/>
      <scheme val="minor"/>
    </font>
    <font>
      <b/>
      <sz val="11"/>
      <color theme="0"/>
      <name val="Calibri"/>
      <family val="2"/>
      <scheme val="minor"/>
    </font>
    <font>
      <i/>
      <u/>
      <sz val="11"/>
      <color theme="1"/>
      <name val="Calibri"/>
      <family val="2"/>
      <scheme val="minor"/>
    </font>
    <font>
      <b/>
      <i/>
      <sz val="11"/>
      <color theme="0" tint="-0.499984740745262"/>
      <name val="Calibri"/>
      <family val="2"/>
      <scheme val="minor"/>
    </font>
    <font>
      <sz val="11"/>
      <color theme="0" tint="-0.499984740745262"/>
      <name val="Calibri"/>
      <family val="2"/>
      <scheme val="minor"/>
    </font>
    <font>
      <sz val="12"/>
      <color indexed="8"/>
      <name val="Arial"/>
      <family val="2"/>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6"/>
        <bgColor indexed="43"/>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47"/>
        <bgColor indexed="64"/>
      </patternFill>
    </fill>
    <fill>
      <patternFill patternType="solid">
        <fgColor indexed="22"/>
        <bgColor indexed="43"/>
      </patternFill>
    </fill>
    <fill>
      <patternFill patternType="solid">
        <fgColor indexed="4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249977111117893"/>
        <bgColor indexed="64"/>
      </patternFill>
    </fill>
    <fill>
      <patternFill patternType="solid">
        <fgColor rgb="FFCCFFFF"/>
        <bgColor indexed="64"/>
      </patternFill>
    </fill>
    <fill>
      <gradientFill degree="45">
        <stop position="0">
          <color theme="0"/>
        </stop>
        <stop position="0.5">
          <color theme="4"/>
        </stop>
        <stop position="1">
          <color theme="0"/>
        </stop>
      </gradientFill>
    </fill>
    <fill>
      <patternFill patternType="gray0625">
        <bgColor theme="0" tint="-4.9989318521683403E-2"/>
      </patternFill>
    </fill>
    <fill>
      <patternFill patternType="solid">
        <fgColor rgb="FFCCFFCC"/>
        <bgColor indexed="64"/>
      </patternFill>
    </fill>
    <fill>
      <patternFill patternType="solid">
        <fgColor rgb="FFC0C0C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0" tint="-0.24994659260841701"/>
        <bgColor indexed="64"/>
      </patternFill>
    </fill>
    <fill>
      <patternFill patternType="solid">
        <fgColor theme="0"/>
        <bgColor indexed="43"/>
      </patternFill>
    </fill>
    <fill>
      <patternFill patternType="solid">
        <fgColor rgb="FFFFFFC0"/>
        <bgColor indexed="64"/>
      </patternFill>
    </fill>
    <fill>
      <patternFill patternType="solid">
        <fgColor rgb="FFFFFFC0"/>
        <bgColor indexed="43"/>
      </patternFill>
    </fill>
    <fill>
      <patternFill patternType="solid">
        <fgColor rgb="FFFFCC00"/>
        <bgColor indexed="64"/>
      </patternFill>
    </fill>
    <fill>
      <patternFill patternType="solid">
        <fgColor rgb="FFF8F8F8"/>
        <bgColor indexed="64"/>
      </patternFill>
    </fill>
    <fill>
      <patternFill patternType="solid">
        <fgColor theme="0" tint="-0.34998626667073579"/>
        <bgColor indexed="26"/>
      </patternFill>
    </fill>
    <fill>
      <patternFill patternType="solid">
        <fgColor rgb="FFFFFFC0"/>
        <bgColor indexed="26"/>
      </patternFill>
    </fill>
    <fill>
      <patternFill patternType="solid">
        <fgColor rgb="FFBFBFBF"/>
        <bgColor indexed="64"/>
      </patternFill>
    </fill>
    <fill>
      <patternFill patternType="solid">
        <fgColor indexed="26"/>
        <bgColor indexed="26"/>
      </patternFill>
    </fill>
    <fill>
      <patternFill patternType="solid">
        <fgColor theme="2" tint="-9.9978637043366805E-2"/>
        <bgColor indexed="64"/>
      </patternFill>
    </fill>
    <fill>
      <patternFill patternType="solid">
        <fgColor rgb="FFFF0000"/>
        <bgColor indexed="64"/>
      </patternFill>
    </fill>
    <fill>
      <patternFill patternType="solid">
        <fgColor theme="7" tint="0.39997558519241921"/>
        <bgColor indexed="65"/>
      </patternFill>
    </fill>
    <fill>
      <patternFill patternType="solid">
        <fgColor rgb="FFCCFFC0"/>
        <bgColor indexed="26"/>
      </patternFill>
    </fill>
    <fill>
      <patternFill patternType="solid">
        <fgColor rgb="FFCCFFC0"/>
        <bgColor indexed="64"/>
      </patternFill>
    </fill>
    <fill>
      <patternFill patternType="solid">
        <fgColor rgb="FFDDD9C4"/>
        <bgColor indexed="64"/>
      </patternFill>
    </fill>
    <fill>
      <patternFill patternType="solid">
        <fgColor theme="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s>
  <borders count="2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double">
        <color indexed="64"/>
      </right>
      <top style="medium">
        <color indexed="64"/>
      </top>
      <bottom style="hair">
        <color indexed="64"/>
      </bottom>
      <diagonal/>
    </border>
    <border>
      <left style="thin">
        <color indexed="64"/>
      </left>
      <right style="double">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
      <left style="double">
        <color indexed="64"/>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bottom style="medium">
        <color indexed="64"/>
      </bottom>
      <diagonal/>
    </border>
    <border>
      <left style="medium">
        <color indexed="64"/>
      </left>
      <right/>
      <top/>
      <bottom style="hair">
        <color auto="1"/>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style="hair">
        <color auto="1"/>
      </bottom>
      <diagonal/>
    </border>
    <border>
      <left/>
      <right/>
      <top style="medium">
        <color indexed="64"/>
      </top>
      <bottom style="hair">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medium">
        <color theme="5"/>
      </left>
      <right/>
      <top style="medium">
        <color theme="5"/>
      </top>
      <bottom style="medium">
        <color theme="5"/>
      </bottom>
      <diagonal/>
    </border>
    <border>
      <left/>
      <right style="medium">
        <color indexed="64"/>
      </right>
      <top style="medium">
        <color theme="5"/>
      </top>
      <bottom style="medium">
        <color theme="5"/>
      </bottom>
      <diagonal/>
    </border>
    <border>
      <left style="medium">
        <color theme="5"/>
      </left>
      <right style="thin">
        <color indexed="64"/>
      </right>
      <top/>
      <bottom style="thin">
        <color indexed="64"/>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medium">
        <color theme="5"/>
      </bottom>
      <diagonal/>
    </border>
    <border>
      <left style="thin">
        <color indexed="64"/>
      </left>
      <right style="medium">
        <color indexed="64"/>
      </right>
      <top/>
      <bottom style="medium">
        <color theme="5"/>
      </bottom>
      <diagonal/>
    </border>
    <border>
      <left/>
      <right/>
      <top style="medium">
        <color theme="5"/>
      </top>
      <bottom/>
      <diagonal/>
    </border>
    <border>
      <left/>
      <right style="medium">
        <color indexed="64"/>
      </right>
      <top style="medium">
        <color theme="5"/>
      </top>
      <bottom/>
      <diagonal/>
    </border>
    <border>
      <left style="thin">
        <color indexed="64"/>
      </left>
      <right style="medium">
        <color indexed="64"/>
      </right>
      <top style="thin">
        <color indexed="64"/>
      </top>
      <bottom style="medium">
        <color theme="5"/>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bottom style="medium">
        <color indexed="64"/>
      </bottom>
      <diagonal/>
    </border>
    <border>
      <left/>
      <right style="thin">
        <color indexed="64"/>
      </right>
      <top style="medium">
        <color indexed="64"/>
      </top>
      <bottom style="hair">
        <color indexed="64"/>
      </bottom>
      <diagonal/>
    </border>
    <border>
      <left style="double">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thin">
        <color indexed="64"/>
      </bottom>
      <diagonal/>
    </border>
    <border>
      <left/>
      <right style="hair">
        <color indexed="64"/>
      </right>
      <top style="medium">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hair">
        <color indexed="64"/>
      </right>
      <top style="medium">
        <color indexed="64"/>
      </top>
      <bottom/>
      <diagonal/>
    </border>
    <border>
      <left style="medium">
        <color indexed="64"/>
      </left>
      <right style="hair">
        <color indexed="64"/>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hair">
        <color indexed="64"/>
      </left>
      <right/>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auto="1"/>
      </bottom>
      <diagonal/>
    </border>
    <border>
      <left style="thin">
        <color auto="1"/>
      </left>
      <right style="hair">
        <color auto="1"/>
      </right>
      <top style="thin">
        <color auto="1"/>
      </top>
      <bottom style="hair">
        <color auto="1"/>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auto="1"/>
      </left>
      <right style="hair">
        <color auto="1"/>
      </right>
      <top style="hair">
        <color auto="1"/>
      </top>
      <bottom style="thin">
        <color auto="1"/>
      </bottom>
      <diagonal/>
    </border>
    <border>
      <left style="dashed">
        <color auto="1"/>
      </left>
      <right style="dashed">
        <color auto="1"/>
      </right>
      <top style="dashed">
        <color auto="1"/>
      </top>
      <bottom style="dashed">
        <color auto="1"/>
      </bottom>
      <diagonal/>
    </border>
    <border>
      <left/>
      <right/>
      <top/>
      <bottom style="double">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medium">
        <color indexed="64"/>
      </top>
      <bottom/>
      <diagonal/>
    </border>
    <border>
      <left style="hair">
        <color indexed="64"/>
      </left>
      <right/>
      <top style="medium">
        <color indexed="64"/>
      </top>
      <bottom style="medium">
        <color indexed="64"/>
      </bottom>
      <diagonal/>
    </border>
    <border>
      <left style="thin">
        <color indexed="64"/>
      </left>
      <right style="medium">
        <color indexed="64"/>
      </right>
      <top style="thin">
        <color indexed="64"/>
      </top>
      <bottom style="thick">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indexed="64"/>
      </bottom>
      <diagonal/>
    </border>
    <border>
      <left/>
      <right style="thin">
        <color theme="1" tint="0.34998626667073579"/>
      </right>
      <top/>
      <bottom style="thin">
        <color indexed="64"/>
      </bottom>
      <diagonal/>
    </border>
    <border>
      <left style="thin">
        <color theme="1" tint="0.34998626667073579"/>
      </left>
      <right/>
      <top style="thin">
        <color indexed="64"/>
      </top>
      <bottom/>
      <diagonal/>
    </border>
    <border>
      <left/>
      <right style="thin">
        <color theme="1" tint="0.34998626667073579"/>
      </right>
      <top style="thin">
        <color indexed="64"/>
      </top>
      <bottom/>
      <diagonal/>
    </border>
    <border>
      <left style="thin">
        <color theme="1" tint="0.34998626667073579"/>
      </left>
      <right/>
      <top/>
      <bottom/>
      <diagonal/>
    </border>
    <border>
      <left/>
      <right style="thin">
        <color theme="1" tint="0.34998626667073579"/>
      </right>
      <top/>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indexed="64"/>
      </left>
      <right style="medium">
        <color indexed="64"/>
      </right>
      <top style="hair">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17">
    <xf numFmtId="0" fontId="0" fillId="0" borderId="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 borderId="0" applyNumberFormat="0" applyBorder="0" applyAlignment="0" applyProtection="0"/>
    <xf numFmtId="0" fontId="41" fillId="3" borderId="0" applyNumberFormat="0" applyBorder="0" applyAlignment="0" applyProtection="0"/>
    <xf numFmtId="0" fontId="41" fillId="12" borderId="0" applyNumberFormat="0" applyBorder="0" applyAlignment="0" applyProtection="0"/>
    <xf numFmtId="0" fontId="41" fillId="10" borderId="0" applyNumberFormat="0" applyBorder="0" applyAlignment="0" applyProtection="0"/>
    <xf numFmtId="0" fontId="41" fillId="2" borderId="0" applyNumberFormat="0" applyBorder="0" applyAlignment="0" applyProtection="0"/>
    <xf numFmtId="0" fontId="41" fillId="13" borderId="0" applyNumberFormat="0" applyBorder="0" applyAlignment="0" applyProtection="0"/>
    <xf numFmtId="0" fontId="42" fillId="15" borderId="0" applyNumberFormat="0" applyBorder="0" applyAlignment="0" applyProtection="0"/>
    <xf numFmtId="0" fontId="42" fillId="3" borderId="0" applyNumberFormat="0" applyBorder="0" applyAlignment="0" applyProtection="0"/>
    <xf numFmtId="0" fontId="42" fillId="12"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4" borderId="0" applyNumberFormat="0" applyBorder="0" applyAlignment="0" applyProtection="0"/>
    <xf numFmtId="0" fontId="43" fillId="22" borderId="1" applyNumberFormat="0" applyAlignment="0" applyProtection="0"/>
    <xf numFmtId="0" fontId="44" fillId="22" borderId="2" applyNumberFormat="0" applyAlignment="0" applyProtection="0"/>
    <xf numFmtId="164" fontId="16" fillId="0" borderId="0" applyFont="0" applyFill="0" applyBorder="0" applyAlignment="0" applyProtection="0"/>
    <xf numFmtId="164" fontId="15" fillId="0" borderId="0" applyFont="0" applyFill="0" applyBorder="0" applyAlignment="0" applyProtection="0"/>
    <xf numFmtId="0" fontId="45" fillId="5" borderId="2" applyNumberFormat="0" applyAlignment="0" applyProtection="0"/>
    <xf numFmtId="0" fontId="46" fillId="0" borderId="3" applyNumberFormat="0" applyFill="0" applyAlignment="0" applyProtection="0"/>
    <xf numFmtId="0" fontId="47" fillId="0" borderId="0" applyNumberFormat="0" applyFill="0" applyBorder="0" applyAlignment="0" applyProtection="0"/>
    <xf numFmtId="184" fontId="15" fillId="0" borderId="0" applyFont="0" applyFill="0" applyBorder="0" applyAlignment="0" applyProtection="0"/>
    <xf numFmtId="184" fontId="16" fillId="0" borderId="0" applyFont="0" applyFill="0" applyBorder="0" applyAlignment="0" applyProtection="0"/>
    <xf numFmtId="184" fontId="16" fillId="0" borderId="0" applyFont="0" applyFill="0" applyBorder="0" applyAlignment="0" applyProtection="0"/>
    <xf numFmtId="0" fontId="48" fillId="9" borderId="0" applyNumberFormat="0" applyBorder="0" applyAlignment="0" applyProtection="0"/>
    <xf numFmtId="0" fontId="58"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169" fontId="15" fillId="0" borderId="0" applyFont="0" applyFill="0" applyBorder="0" applyAlignment="0" applyProtection="0"/>
    <xf numFmtId="0" fontId="49" fillId="11" borderId="0" applyNumberFormat="0" applyBorder="0" applyAlignment="0" applyProtection="0"/>
    <xf numFmtId="0" fontId="41" fillId="4" borderId="4" applyNumberFormat="0" applyFont="0" applyAlignment="0" applyProtection="0"/>
    <xf numFmtId="9" fontId="15" fillId="0" borderId="0" applyFont="0" applyFill="0" applyBorder="0" applyAlignment="0" applyProtection="0"/>
    <xf numFmtId="9" fontId="16" fillId="0" borderId="0" applyFont="0" applyFill="0" applyBorder="0" applyAlignment="0" applyProtection="0"/>
    <xf numFmtId="0" fontId="50" fillId="8"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51" fillId="0" borderId="0" applyNumberFormat="0" applyFill="0" applyBorder="0" applyAlignment="0" applyProtection="0"/>
    <xf numFmtId="0" fontId="52" fillId="0" borderId="5" applyNumberFormat="0" applyFill="0" applyAlignment="0" applyProtection="0"/>
    <xf numFmtId="0" fontId="53" fillId="0" borderId="6" applyNumberFormat="0" applyFill="0" applyAlignment="0" applyProtection="0"/>
    <xf numFmtId="0" fontId="54" fillId="0" borderId="7" applyNumberFormat="0" applyFill="0" applyAlignment="0" applyProtection="0"/>
    <xf numFmtId="0" fontId="54" fillId="0" borderId="0" applyNumberFormat="0" applyFill="0" applyBorder="0" applyAlignment="0" applyProtection="0"/>
    <xf numFmtId="0" fontId="55" fillId="0" borderId="8" applyNumberFormat="0" applyFill="0" applyAlignment="0" applyProtection="0"/>
    <xf numFmtId="168" fontId="15" fillId="0" borderId="0" applyFont="0" applyFill="0" applyBorder="0" applyAlignment="0" applyProtection="0"/>
    <xf numFmtId="0" fontId="56" fillId="0" borderId="0" applyNumberFormat="0" applyFill="0" applyBorder="0" applyAlignment="0" applyProtection="0"/>
    <xf numFmtId="0" fontId="57" fillId="23" borderId="9" applyNumberFormat="0" applyAlignment="0" applyProtection="0"/>
    <xf numFmtId="0" fontId="15" fillId="0" borderId="0"/>
    <xf numFmtId="164" fontId="15" fillId="0" borderId="0" applyFont="0" applyFill="0" applyBorder="0" applyAlignment="0" applyProtection="0"/>
    <xf numFmtId="164" fontId="15" fillId="0" borderId="0" applyFont="0" applyFill="0" applyBorder="0" applyAlignment="0" applyProtection="0"/>
    <xf numFmtId="0" fontId="59" fillId="0" borderId="0" applyNumberFormat="0" applyFill="0" applyBorder="0" applyAlignment="0" applyProtection="0">
      <alignment vertical="top"/>
      <protection locked="0"/>
    </xf>
    <xf numFmtId="44" fontId="15" fillId="0" borderId="0" applyFont="0" applyFill="0" applyBorder="0" applyAlignment="0" applyProtection="0"/>
    <xf numFmtId="44" fontId="15" fillId="0" borderId="0" applyFont="0" applyFill="0" applyBorder="0" applyAlignment="0" applyProtection="0"/>
    <xf numFmtId="0" fontId="15" fillId="0" borderId="0"/>
    <xf numFmtId="0" fontId="80" fillId="0" borderId="0"/>
    <xf numFmtId="0" fontId="132" fillId="0" borderId="0" applyNumberFormat="0" applyFill="0" applyBorder="0" applyAlignment="0" applyProtection="0">
      <alignment vertical="top"/>
      <protection locked="0"/>
    </xf>
    <xf numFmtId="9" fontId="15" fillId="0" borderId="0" applyFont="0" applyFill="0" applyBorder="0" applyAlignment="0" applyProtection="0"/>
    <xf numFmtId="184" fontId="15" fillId="0" borderId="0" applyFont="0" applyFill="0" applyBorder="0" applyAlignment="0" applyProtection="0"/>
    <xf numFmtId="0" fontId="133" fillId="7" borderId="0" applyNumberFormat="0" applyBorder="0" applyAlignment="0" applyProtection="0"/>
    <xf numFmtId="0" fontId="133" fillId="8" borderId="0" applyNumberFormat="0" applyBorder="0" applyAlignment="0" applyProtection="0"/>
    <xf numFmtId="0" fontId="133" fillId="9" borderId="0" applyNumberFormat="0" applyBorder="0" applyAlignment="0" applyProtection="0"/>
    <xf numFmtId="0" fontId="133" fillId="10" borderId="0" applyNumberFormat="0" applyBorder="0" applyAlignment="0" applyProtection="0"/>
    <xf numFmtId="0" fontId="133" fillId="6" borderId="0" applyNumberFormat="0" applyBorder="0" applyAlignment="0" applyProtection="0"/>
    <xf numFmtId="0" fontId="133" fillId="5" borderId="0" applyNumberFormat="0" applyBorder="0" applyAlignment="0" applyProtection="0"/>
    <xf numFmtId="0" fontId="133" fillId="2" borderId="0" applyNumberFormat="0" applyBorder="0" applyAlignment="0" applyProtection="0"/>
    <xf numFmtId="0" fontId="133" fillId="3" borderId="0" applyNumberFormat="0" applyBorder="0" applyAlignment="0" applyProtection="0"/>
    <xf numFmtId="0" fontId="133" fillId="12" borderId="0" applyNumberFormat="0" applyBorder="0" applyAlignment="0" applyProtection="0"/>
    <xf numFmtId="0" fontId="133" fillId="10" borderId="0" applyNumberFormat="0" applyBorder="0" applyAlignment="0" applyProtection="0"/>
    <xf numFmtId="0" fontId="133" fillId="2" borderId="0" applyNumberFormat="0" applyBorder="0" applyAlignment="0" applyProtection="0"/>
    <xf numFmtId="0" fontId="133" fillId="13" borderId="0" applyNumberFormat="0" applyBorder="0" applyAlignment="0" applyProtection="0"/>
    <xf numFmtId="0" fontId="134" fillId="15" borderId="0" applyNumberFormat="0" applyBorder="0" applyAlignment="0" applyProtection="0"/>
    <xf numFmtId="0" fontId="134" fillId="3" borderId="0" applyNumberFormat="0" applyBorder="0" applyAlignment="0" applyProtection="0"/>
    <xf numFmtId="0" fontId="134" fillId="12" borderId="0" applyNumberFormat="0" applyBorder="0" applyAlignment="0" applyProtection="0"/>
    <xf numFmtId="0" fontId="134" fillId="16" borderId="0" applyNumberFormat="0" applyBorder="0" applyAlignment="0" applyProtection="0"/>
    <xf numFmtId="0" fontId="134" fillId="17" borderId="0" applyNumberFormat="0" applyBorder="0" applyAlignment="0" applyProtection="0"/>
    <xf numFmtId="0" fontId="134" fillId="18" borderId="0" applyNumberFormat="0" applyBorder="0" applyAlignment="0" applyProtection="0"/>
    <xf numFmtId="164" fontId="15" fillId="0" borderId="0" applyFont="0" applyFill="0" applyBorder="0" applyAlignment="0" applyProtection="0"/>
    <xf numFmtId="184" fontId="15" fillId="0" borderId="0" applyFont="0" applyFill="0" applyBorder="0" applyAlignment="0" applyProtection="0"/>
    <xf numFmtId="0" fontId="15" fillId="0" borderId="0"/>
    <xf numFmtId="0" fontId="15" fillId="0" borderId="0"/>
    <xf numFmtId="0" fontId="15" fillId="0" borderId="0"/>
    <xf numFmtId="0" fontId="15" fillId="0" borderId="0"/>
    <xf numFmtId="0" fontId="141" fillId="0" borderId="0"/>
    <xf numFmtId="9" fontId="141" fillId="0" borderId="0" applyFont="0" applyFill="0" applyBorder="0" applyAlignment="0" applyProtection="0"/>
    <xf numFmtId="0" fontId="141" fillId="0" borderId="0"/>
    <xf numFmtId="0" fontId="141" fillId="0" borderId="0"/>
    <xf numFmtId="0" fontId="141" fillId="0" borderId="0"/>
    <xf numFmtId="9" fontId="141" fillId="0" borderId="0" applyFont="0" applyFill="0" applyBorder="0" applyAlignment="0" applyProtection="0"/>
    <xf numFmtId="0" fontId="145" fillId="57" borderId="0" applyNumberFormat="0" applyBorder="0" applyAlignment="0" applyProtection="0"/>
    <xf numFmtId="0" fontId="12" fillId="0" borderId="0"/>
    <xf numFmtId="0" fontId="233" fillId="0" borderId="0"/>
    <xf numFmtId="164" fontId="233" fillId="0" borderId="0" applyFont="0" applyFill="0" applyBorder="0" applyAlignment="0" applyProtection="0"/>
    <xf numFmtId="0" fontId="233" fillId="0" borderId="0"/>
    <xf numFmtId="9" fontId="233" fillId="0" borderId="0" applyFont="0" applyFill="0" applyBorder="0" applyAlignment="0" applyProtection="0"/>
    <xf numFmtId="164" fontId="10" fillId="0" borderId="0" applyFont="0" applyFill="0" applyBorder="0" applyAlignment="0" applyProtection="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8" fillId="0" borderId="0"/>
    <xf numFmtId="0" fontId="7" fillId="0" borderId="0"/>
    <xf numFmtId="164" fontId="7" fillId="0" borderId="0" applyFont="0" applyFill="0" applyBorder="0" applyAlignment="0" applyProtection="0"/>
    <xf numFmtId="9" fontId="7"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cellStyleXfs>
  <cellXfs count="5141">
    <xf numFmtId="0" fontId="0" fillId="0" borderId="0" xfId="0"/>
    <xf numFmtId="0" fontId="0" fillId="26" borderId="35" xfId="0" applyFill="1" applyBorder="1"/>
    <xf numFmtId="0" fontId="0" fillId="26" borderId="36" xfId="0" applyFill="1" applyBorder="1"/>
    <xf numFmtId="0" fontId="0" fillId="26" borderId="37" xfId="0" applyFill="1" applyBorder="1"/>
    <xf numFmtId="0" fontId="0" fillId="26" borderId="0" xfId="0" applyFill="1" applyBorder="1"/>
    <xf numFmtId="0" fontId="0" fillId="26" borderId="38" xfId="0" applyFill="1" applyBorder="1"/>
    <xf numFmtId="0" fontId="0" fillId="26" borderId="40" xfId="0" applyFill="1" applyBorder="1"/>
    <xf numFmtId="0" fontId="0" fillId="26" borderId="41" xfId="0" applyFill="1" applyBorder="1"/>
    <xf numFmtId="184" fontId="26" fillId="26" borderId="0" xfId="32" applyFont="1" applyFill="1"/>
    <xf numFmtId="184" fontId="26" fillId="26" borderId="0" xfId="32" applyFont="1" applyFill="1" applyAlignment="1">
      <alignment horizontal="right"/>
    </xf>
    <xf numFmtId="0" fontId="0" fillId="26" borderId="52" xfId="0" applyFill="1" applyBorder="1"/>
    <xf numFmtId="0" fontId="28" fillId="26" borderId="38" xfId="0" applyFont="1" applyFill="1" applyBorder="1" applyAlignment="1">
      <alignment horizontal="center"/>
    </xf>
    <xf numFmtId="0" fontId="34" fillId="26" borderId="0" xfId="0" applyFont="1" applyFill="1" applyBorder="1"/>
    <xf numFmtId="10" fontId="26" fillId="26" borderId="60" xfId="41" applyNumberFormat="1" applyFont="1" applyFill="1" applyBorder="1" applyAlignment="1">
      <alignment horizontal="right"/>
    </xf>
    <xf numFmtId="0" fontId="15" fillId="0" borderId="0" xfId="0" applyFont="1"/>
    <xf numFmtId="0" fontId="15" fillId="0" borderId="0" xfId="58"/>
    <xf numFmtId="10" fontId="0" fillId="0" borderId="0" xfId="41" applyNumberFormat="1" applyFont="1"/>
    <xf numFmtId="2" fontId="61" fillId="0" borderId="54" xfId="0" applyNumberFormat="1" applyFont="1" applyFill="1" applyBorder="1" applyAlignment="1" applyProtection="1">
      <alignment horizontal="center" vertical="center"/>
    </xf>
    <xf numFmtId="0" fontId="61" fillId="32" borderId="54" xfId="0" applyFont="1" applyFill="1" applyBorder="1" applyAlignment="1" applyProtection="1">
      <alignment vertical="center"/>
    </xf>
    <xf numFmtId="10" fontId="61" fillId="32" borderId="54" xfId="0" applyNumberFormat="1" applyFont="1" applyFill="1" applyBorder="1" applyAlignment="1" applyProtection="1">
      <alignment horizontal="center" vertical="center"/>
    </xf>
    <xf numFmtId="219" fontId="61" fillId="32" borderId="59" xfId="41" applyNumberFormat="1" applyFont="1" applyFill="1" applyBorder="1" applyAlignment="1" applyProtection="1">
      <alignment horizontal="center" vertical="center"/>
    </xf>
    <xf numFmtId="0" fontId="14" fillId="26" borderId="0" xfId="0" applyFont="1" applyFill="1" applyBorder="1"/>
    <xf numFmtId="0" fontId="0" fillId="34" borderId="0" xfId="0" applyFill="1"/>
    <xf numFmtId="0" fontId="0" fillId="34" borderId="0" xfId="0" applyFill="1" applyBorder="1"/>
    <xf numFmtId="0" fontId="17" fillId="34" borderId="0" xfId="0" applyFont="1" applyFill="1" applyBorder="1"/>
    <xf numFmtId="10" fontId="26" fillId="26" borderId="32" xfId="41" applyNumberFormat="1" applyFont="1" applyFill="1" applyBorder="1" applyAlignment="1">
      <alignment horizontal="right"/>
    </xf>
    <xf numFmtId="10" fontId="26" fillId="26" borderId="85" xfId="41" applyNumberFormat="1" applyFont="1" applyFill="1" applyBorder="1" applyAlignment="1">
      <alignment horizontal="right"/>
    </xf>
    <xf numFmtId="10" fontId="26" fillId="26" borderId="83" xfId="41" applyNumberFormat="1" applyFont="1" applyFill="1" applyBorder="1" applyAlignment="1">
      <alignment horizontal="right"/>
    </xf>
    <xf numFmtId="184" fontId="69" fillId="26" borderId="0" xfId="32" applyFont="1" applyFill="1" applyAlignment="1">
      <alignment horizontal="right" vertical="center"/>
    </xf>
    <xf numFmtId="0" fontId="62" fillId="0" borderId="0" xfId="0" applyFont="1"/>
    <xf numFmtId="0" fontId="71" fillId="0" borderId="0" xfId="0" applyFont="1"/>
    <xf numFmtId="0" fontId="72" fillId="0" borderId="0" xfId="0" applyFont="1" applyAlignment="1">
      <alignment horizontal="left"/>
    </xf>
    <xf numFmtId="0" fontId="73" fillId="0" borderId="0" xfId="0" applyFont="1" applyFill="1" applyBorder="1" applyAlignment="1" applyProtection="1">
      <alignment vertical="center"/>
    </xf>
    <xf numFmtId="0" fontId="74" fillId="0" borderId="0" xfId="0" applyFont="1" applyFill="1" applyBorder="1" applyAlignment="1" applyProtection="1">
      <alignment vertical="center"/>
    </xf>
    <xf numFmtId="0" fontId="74" fillId="0" borderId="0" xfId="0" applyFont="1"/>
    <xf numFmtId="0" fontId="75" fillId="0" borderId="0" xfId="0" applyFont="1" applyFill="1" applyBorder="1" applyAlignment="1" applyProtection="1">
      <alignment vertical="center"/>
    </xf>
    <xf numFmtId="2" fontId="74" fillId="0" borderId="0" xfId="0" applyNumberFormat="1" applyFont="1"/>
    <xf numFmtId="9" fontId="74" fillId="0" borderId="0" xfId="41" applyFont="1"/>
    <xf numFmtId="10" fontId="74" fillId="0" borderId="0" xfId="41" applyNumberFormat="1" applyFont="1"/>
    <xf numFmtId="226" fontId="74" fillId="0" borderId="0" xfId="0" applyNumberFormat="1" applyFont="1"/>
    <xf numFmtId="209" fontId="74" fillId="0" borderId="0" xfId="0" applyNumberFormat="1" applyFont="1"/>
    <xf numFmtId="226" fontId="74" fillId="0" borderId="0" xfId="0" applyNumberFormat="1" applyFont="1" applyFill="1"/>
    <xf numFmtId="209" fontId="74" fillId="0" borderId="0" xfId="0" applyNumberFormat="1" applyFont="1" applyFill="1"/>
    <xf numFmtId="10" fontId="74" fillId="0" borderId="0" xfId="0" applyNumberFormat="1" applyFont="1"/>
    <xf numFmtId="0" fontId="74" fillId="0" borderId="0" xfId="0" applyFont="1" applyProtection="1">
      <protection locked="0"/>
    </xf>
    <xf numFmtId="0" fontId="76" fillId="0" borderId="0" xfId="0" applyFont="1" applyFill="1" applyBorder="1" applyAlignment="1" applyProtection="1">
      <alignment vertical="center"/>
    </xf>
    <xf numFmtId="0" fontId="75" fillId="0" borderId="0" xfId="0" applyFont="1"/>
    <xf numFmtId="1" fontId="74" fillId="0" borderId="0" xfId="0" applyNumberFormat="1" applyFont="1" applyAlignment="1">
      <alignment horizontal="center"/>
    </xf>
    <xf numFmtId="227" fontId="74" fillId="0" borderId="0" xfId="0" applyNumberFormat="1" applyFont="1" applyFill="1" applyBorder="1" applyAlignment="1" applyProtection="1">
      <alignment vertical="center"/>
    </xf>
    <xf numFmtId="2" fontId="0" fillId="0" borderId="0" xfId="0" applyNumberFormat="1"/>
    <xf numFmtId="9" fontId="0" fillId="0" borderId="0" xfId="41" applyFont="1"/>
    <xf numFmtId="4" fontId="0" fillId="0" borderId="0" xfId="0" applyNumberFormat="1"/>
    <xf numFmtId="4" fontId="0" fillId="0" borderId="0" xfId="0" applyNumberFormat="1" applyAlignment="1"/>
    <xf numFmtId="0" fontId="15" fillId="26" borderId="0" xfId="58" applyFont="1" applyFill="1"/>
    <xf numFmtId="0" fontId="26" fillId="26" borderId="0" xfId="58" applyFont="1" applyFill="1"/>
    <xf numFmtId="0" fontId="15" fillId="26" borderId="0" xfId="58" applyFill="1"/>
    <xf numFmtId="0" fontId="24" fillId="26" borderId="0" xfId="58" applyFont="1" applyFill="1"/>
    <xf numFmtId="0" fontId="26" fillId="26" borderId="34" xfId="58" applyFont="1" applyFill="1" applyBorder="1" applyAlignment="1">
      <alignment horizontal="center"/>
    </xf>
    <xf numFmtId="0" fontId="26" fillId="26" borderId="0" xfId="58" quotePrefix="1" applyFont="1" applyFill="1" applyAlignment="1">
      <alignment horizontal="center"/>
    </xf>
    <xf numFmtId="0" fontId="26" fillId="26" borderId="0" xfId="58" quotePrefix="1" applyFont="1" applyFill="1" applyAlignment="1">
      <alignment vertical="center"/>
    </xf>
    <xf numFmtId="0" fontId="26" fillId="26" borderId="0" xfId="58" quotePrefix="1" applyFont="1" applyFill="1" applyAlignment="1">
      <alignment horizontal="right" vertical="center"/>
    </xf>
    <xf numFmtId="0" fontId="15" fillId="26" borderId="0" xfId="58" applyFill="1" applyAlignment="1">
      <alignment vertical="center"/>
    </xf>
    <xf numFmtId="0" fontId="15" fillId="26" borderId="0" xfId="58" applyFont="1" applyFill="1" applyAlignment="1">
      <alignment vertical="center"/>
    </xf>
    <xf numFmtId="0" fontId="26" fillId="26" borderId="0" xfId="58" quotePrefix="1" applyFont="1" applyFill="1"/>
    <xf numFmtId="0" fontId="24" fillId="26" borderId="0" xfId="58" quotePrefix="1" applyFont="1" applyFill="1"/>
    <xf numFmtId="0" fontId="26" fillId="26" borderId="0" xfId="58" applyFont="1" applyFill="1" applyAlignment="1">
      <alignment vertical="center"/>
    </xf>
    <xf numFmtId="0" fontId="26" fillId="26" borderId="0" xfId="58" quotePrefix="1" applyFont="1" applyFill="1" applyAlignment="1">
      <alignment horizontal="right"/>
    </xf>
    <xf numFmtId="0" fontId="26" fillId="26" borderId="0" xfId="58" applyFont="1" applyFill="1" applyAlignment="1">
      <alignment horizontal="centerContinuous"/>
    </xf>
    <xf numFmtId="0" fontId="24" fillId="26" borderId="0" xfId="58" applyFont="1" applyFill="1" applyAlignment="1">
      <alignment horizontal="center"/>
    </xf>
    <xf numFmtId="0" fontId="26" fillId="26" borderId="0" xfId="58" applyFont="1" applyFill="1" applyAlignment="1"/>
    <xf numFmtId="0" fontId="26" fillId="26" borderId="0" xfId="58" applyFont="1" applyFill="1" applyAlignment="1">
      <alignment horizontal="left"/>
    </xf>
    <xf numFmtId="0" fontId="26" fillId="26" borderId="0" xfId="58" applyFont="1" applyFill="1" applyAlignment="1">
      <alignment horizontal="center"/>
    </xf>
    <xf numFmtId="0" fontId="24" fillId="26" borderId="42" xfId="58" applyFont="1" applyFill="1" applyBorder="1" applyAlignment="1">
      <alignment horizontal="center"/>
    </xf>
    <xf numFmtId="0" fontId="24" fillId="26" borderId="49" xfId="58" applyFont="1" applyFill="1" applyBorder="1" applyAlignment="1">
      <alignment horizontal="center"/>
    </xf>
    <xf numFmtId="0" fontId="24" fillId="26" borderId="50" xfId="58" applyFont="1" applyFill="1" applyBorder="1" applyAlignment="1">
      <alignment horizontal="center"/>
    </xf>
    <xf numFmtId="0" fontId="24" fillId="26" borderId="30" xfId="58" applyFont="1" applyFill="1" applyBorder="1" applyAlignment="1">
      <alignment horizontal="center"/>
    </xf>
    <xf numFmtId="0" fontId="26" fillId="26" borderId="0" xfId="58" quotePrefix="1" applyFont="1" applyFill="1" applyAlignment="1"/>
    <xf numFmtId="16" fontId="26" fillId="26" borderId="0" xfId="58" quotePrefix="1" applyNumberFormat="1" applyFont="1" applyFill="1"/>
    <xf numFmtId="0" fontId="68" fillId="26" borderId="0" xfId="58" applyFont="1" applyFill="1"/>
    <xf numFmtId="0" fontId="68" fillId="26" borderId="0" xfId="58" applyFont="1" applyFill="1" applyAlignment="1">
      <alignment vertical="center"/>
    </xf>
    <xf numFmtId="0" fontId="63" fillId="26" borderId="0" xfId="58" applyFont="1" applyFill="1" applyAlignment="1">
      <alignment vertical="center"/>
    </xf>
    <xf numFmtId="0" fontId="63" fillId="26" borderId="0" xfId="58" applyFont="1" applyFill="1"/>
    <xf numFmtId="179" fontId="26" fillId="26" borderId="0" xfId="58" applyNumberFormat="1" applyFont="1" applyFill="1"/>
    <xf numFmtId="211" fontId="26" fillId="26" borderId="0" xfId="58" applyNumberFormat="1" applyFont="1" applyFill="1" applyAlignment="1">
      <alignment horizontal="right"/>
    </xf>
    <xf numFmtId="0" fontId="24" fillId="26" borderId="72" xfId="58" applyFont="1" applyFill="1" applyBorder="1" applyAlignment="1">
      <alignment horizontal="center"/>
    </xf>
    <xf numFmtId="0" fontId="26" fillId="26" borderId="0" xfId="58" applyFont="1" applyFill="1" applyAlignment="1">
      <alignment horizontal="right"/>
    </xf>
    <xf numFmtId="0" fontId="68" fillId="26" borderId="0" xfId="58" applyFont="1" applyFill="1" applyAlignment="1">
      <alignment horizontal="center"/>
    </xf>
    <xf numFmtId="0" fontId="68" fillId="26" borderId="0" xfId="58" applyFont="1" applyFill="1" applyAlignment="1">
      <alignment horizontal="left"/>
    </xf>
    <xf numFmtId="0" fontId="24" fillId="26" borderId="0" xfId="58" applyFont="1" applyFill="1" applyAlignment="1">
      <alignment horizontal="center" vertical="center"/>
    </xf>
    <xf numFmtId="0" fontId="35" fillId="26" borderId="0" xfId="58" applyFont="1" applyFill="1"/>
    <xf numFmtId="0" fontId="26" fillId="26" borderId="0" xfId="58" applyNumberFormat="1" applyFont="1" applyFill="1" applyAlignment="1"/>
    <xf numFmtId="14" fontId="26" fillId="26" borderId="0" xfId="58" applyNumberFormat="1" applyFont="1" applyFill="1" applyAlignment="1"/>
    <xf numFmtId="0" fontId="26" fillId="26" borderId="40" xfId="58" applyFont="1" applyFill="1" applyBorder="1"/>
    <xf numFmtId="0" fontId="26" fillId="26" borderId="0" xfId="58" applyFont="1" applyFill="1" applyBorder="1"/>
    <xf numFmtId="0" fontId="37" fillId="26" borderId="0" xfId="58" applyFont="1" applyFill="1" applyBorder="1" applyAlignment="1">
      <alignment horizontal="center" vertical="top" wrapText="1" shrinkToFit="1"/>
    </xf>
    <xf numFmtId="0" fontId="24" fillId="26" borderId="0" xfId="58" quotePrefix="1" applyFont="1" applyFill="1" applyAlignment="1">
      <alignment horizontal="center"/>
    </xf>
    <xf numFmtId="0" fontId="26" fillId="26" borderId="0" xfId="58" quotePrefix="1" applyFont="1" applyFill="1" applyAlignment="1">
      <alignment horizontal="center"/>
    </xf>
    <xf numFmtId="0" fontId="26" fillId="26" borderId="0" xfId="58" applyFont="1" applyFill="1" applyAlignment="1">
      <alignment horizontal="center"/>
    </xf>
    <xf numFmtId="0" fontId="24" fillId="26" borderId="0" xfId="58" applyFont="1" applyFill="1" applyAlignment="1"/>
    <xf numFmtId="4" fontId="26" fillId="26" borderId="0" xfId="58" applyNumberFormat="1" applyFont="1" applyFill="1" applyAlignment="1"/>
    <xf numFmtId="4" fontId="24" fillId="26" borderId="0" xfId="58" applyNumberFormat="1" applyFont="1" applyFill="1" applyAlignment="1">
      <alignment horizontal="right"/>
    </xf>
    <xf numFmtId="0" fontId="78" fillId="26" borderId="0" xfId="58" applyFont="1" applyFill="1"/>
    <xf numFmtId="0" fontId="78" fillId="26" borderId="0" xfId="58" applyFont="1" applyFill="1" applyAlignment="1">
      <alignment vertical="center"/>
    </xf>
    <xf numFmtId="0" fontId="77" fillId="26" borderId="0" xfId="58" applyFont="1" applyFill="1" applyAlignment="1">
      <alignment vertical="center"/>
    </xf>
    <xf numFmtId="184" fontId="79" fillId="26" borderId="0" xfId="32" applyFont="1" applyFill="1" applyAlignment="1">
      <alignment horizontal="right" vertical="center"/>
    </xf>
    <xf numFmtId="0" fontId="77" fillId="26" borderId="0" xfId="58" applyFont="1" applyFill="1"/>
    <xf numFmtId="184" fontId="81" fillId="26" borderId="0" xfId="32" applyFont="1" applyFill="1" applyAlignment="1">
      <alignment horizontal="right" vertical="center"/>
    </xf>
    <xf numFmtId="0" fontId="0" fillId="32" borderId="0" xfId="0" applyFill="1"/>
    <xf numFmtId="0" fontId="78" fillId="26" borderId="0" xfId="58" quotePrefix="1" applyFont="1" applyFill="1" applyAlignment="1">
      <alignment horizontal="center"/>
    </xf>
    <xf numFmtId="0" fontId="78" fillId="26" borderId="0" xfId="58" applyFont="1" applyFill="1" applyAlignment="1">
      <alignment horizontal="center"/>
    </xf>
    <xf numFmtId="0" fontId="26" fillId="26" borderId="0" xfId="58" quotePrefix="1" applyFont="1" applyFill="1" applyAlignment="1">
      <alignment horizontal="center"/>
    </xf>
    <xf numFmtId="0" fontId="24" fillId="26" borderId="0" xfId="58" applyFont="1" applyFill="1" applyAlignment="1">
      <alignment horizontal="center" vertical="center"/>
    </xf>
    <xf numFmtId="0" fontId="82" fillId="26" borderId="0" xfId="58" applyFont="1" applyFill="1" applyAlignment="1"/>
    <xf numFmtId="184" fontId="24" fillId="26" borderId="0" xfId="32" applyFont="1" applyFill="1" applyAlignment="1">
      <alignment horizontal="right"/>
    </xf>
    <xf numFmtId="0" fontId="24" fillId="26" borderId="0" xfId="58" applyFont="1" applyFill="1" applyAlignment="1">
      <alignment horizontal="right"/>
    </xf>
    <xf numFmtId="211" fontId="24" fillId="26" borderId="0" xfId="58" applyNumberFormat="1" applyFont="1" applyFill="1" applyAlignment="1">
      <alignment horizontal="right"/>
    </xf>
    <xf numFmtId="184" fontId="83" fillId="26" borderId="0" xfId="32" applyFont="1" applyFill="1" applyAlignment="1">
      <alignment horizontal="right" vertical="center"/>
    </xf>
    <xf numFmtId="191" fontId="24" fillId="26" borderId="0" xfId="58" applyNumberFormat="1" applyFont="1" applyFill="1" applyAlignment="1">
      <alignment horizontal="center" vertical="center"/>
    </xf>
    <xf numFmtId="191" fontId="26" fillId="26" borderId="0" xfId="58" applyNumberFormat="1" applyFont="1" applyFill="1" applyAlignment="1">
      <alignment vertical="center"/>
    </xf>
    <xf numFmtId="191" fontId="24" fillId="26" borderId="0" xfId="58" applyNumberFormat="1" applyFont="1" applyFill="1" applyAlignment="1">
      <alignment vertical="center"/>
    </xf>
    <xf numFmtId="0" fontId="15" fillId="26" borderId="40" xfId="58" applyFont="1" applyFill="1" applyBorder="1"/>
    <xf numFmtId="0" fontId="26" fillId="26" borderId="0" xfId="58" quotePrefix="1" applyFont="1" applyFill="1" applyAlignment="1">
      <alignment horizontal="center"/>
    </xf>
    <xf numFmtId="184" fontId="84" fillId="26" borderId="0" xfId="32" applyFont="1" applyFill="1" applyAlignment="1">
      <alignment vertical="center"/>
    </xf>
    <xf numFmtId="0" fontId="26" fillId="26" borderId="0" xfId="58" applyFont="1" applyFill="1" applyAlignment="1">
      <alignment horizontal="center"/>
    </xf>
    <xf numFmtId="191" fontId="24" fillId="26" borderId="0" xfId="58" applyNumberFormat="1" applyFont="1" applyFill="1" applyAlignment="1">
      <alignment horizontal="center" vertical="center"/>
    </xf>
    <xf numFmtId="0" fontId="24" fillId="26" borderId="0" xfId="58" applyNumberFormat="1" applyFont="1" applyFill="1" applyAlignment="1">
      <alignment horizontal="left"/>
    </xf>
    <xf numFmtId="0" fontId="24" fillId="26" borderId="0" xfId="58" applyFont="1" applyFill="1" applyAlignment="1">
      <alignment horizontal="left"/>
    </xf>
    <xf numFmtId="184" fontId="82" fillId="26" borderId="0" xfId="32" applyFont="1" applyFill="1" applyAlignment="1">
      <alignment vertical="center"/>
    </xf>
    <xf numFmtId="0" fontId="80" fillId="26" borderId="0" xfId="58" applyFont="1" applyFill="1" applyAlignment="1">
      <alignment horizontal="center" vertical="center"/>
    </xf>
    <xf numFmtId="0" fontId="80" fillId="26" borderId="0" xfId="58" applyFont="1" applyFill="1" applyAlignment="1">
      <alignment horizontal="left" vertical="center"/>
    </xf>
    <xf numFmtId="10" fontId="91" fillId="26" borderId="65" xfId="41" applyNumberFormat="1" applyFont="1" applyFill="1" applyBorder="1" applyAlignment="1" applyProtection="1">
      <alignment horizontal="center" vertical="center" wrapText="1"/>
    </xf>
    <xf numFmtId="246" fontId="90" fillId="26" borderId="164" xfId="41" applyNumberFormat="1" applyFont="1" applyFill="1" applyBorder="1" applyAlignment="1" applyProtection="1">
      <alignment horizontal="center" vertical="center"/>
    </xf>
    <xf numFmtId="217" fontId="92" fillId="26" borderId="0" xfId="41" applyNumberFormat="1" applyFont="1" applyFill="1" applyBorder="1" applyAlignment="1" applyProtection="1">
      <alignment vertical="center"/>
    </xf>
    <xf numFmtId="2" fontId="93" fillId="26" borderId="0" xfId="0" applyNumberFormat="1" applyFont="1" applyFill="1" applyBorder="1" applyAlignment="1" applyProtection="1">
      <alignment vertical="center"/>
    </xf>
    <xf numFmtId="0" fontId="90" fillId="26" borderId="86" xfId="0" applyFont="1" applyFill="1" applyBorder="1" applyAlignment="1" applyProtection="1">
      <alignment vertical="center"/>
    </xf>
    <xf numFmtId="191" fontId="94" fillId="26" borderId="160" xfId="0" applyNumberFormat="1" applyFont="1" applyFill="1" applyBorder="1" applyAlignment="1" applyProtection="1">
      <alignment horizontal="center" vertical="center"/>
    </xf>
    <xf numFmtId="191" fontId="94" fillId="26" borderId="117" xfId="0" applyNumberFormat="1" applyFont="1" applyFill="1" applyBorder="1" applyAlignment="1" applyProtection="1">
      <alignment vertical="center"/>
    </xf>
    <xf numFmtId="246" fontId="94" fillId="26" borderId="162" xfId="41" applyNumberFormat="1" applyFont="1" applyFill="1" applyBorder="1" applyAlignment="1" applyProtection="1">
      <alignment horizontal="center" vertical="center"/>
    </xf>
    <xf numFmtId="246" fontId="94" fillId="26" borderId="163" xfId="41" applyNumberFormat="1" applyFont="1" applyFill="1" applyBorder="1" applyAlignment="1" applyProtection="1">
      <alignment horizontal="center" vertical="center"/>
    </xf>
    <xf numFmtId="0" fontId="67" fillId="26" borderId="35" xfId="58" applyFont="1" applyFill="1" applyBorder="1" applyAlignment="1">
      <alignment vertical="center"/>
    </xf>
    <xf numFmtId="0" fontId="67" fillId="26" borderId="36" xfId="58" applyFont="1" applyFill="1" applyBorder="1" applyAlignment="1">
      <alignment vertical="center"/>
    </xf>
    <xf numFmtId="0" fontId="99" fillId="26" borderId="0" xfId="58" applyFont="1" applyFill="1" applyBorder="1" applyAlignment="1">
      <alignment vertical="center"/>
    </xf>
    <xf numFmtId="0" fontId="67" fillId="26" borderId="0" xfId="58" applyFont="1" applyFill="1" applyAlignment="1">
      <alignment vertical="center"/>
    </xf>
    <xf numFmtId="0" fontId="100" fillId="26" borderId="0" xfId="58" applyFont="1" applyFill="1" applyAlignment="1">
      <alignment vertical="center"/>
    </xf>
    <xf numFmtId="0" fontId="67" fillId="0" borderId="0" xfId="58" applyFont="1" applyAlignment="1">
      <alignment vertical="center"/>
    </xf>
    <xf numFmtId="0" fontId="67" fillId="26" borderId="37" xfId="58" applyFont="1" applyFill="1" applyBorder="1" applyAlignment="1">
      <alignment vertical="center"/>
    </xf>
    <xf numFmtId="0" fontId="67" fillId="26" borderId="38" xfId="58" applyFont="1" applyFill="1" applyBorder="1" applyAlignment="1">
      <alignment vertical="center"/>
    </xf>
    <xf numFmtId="0" fontId="99" fillId="26" borderId="0" xfId="58" applyFont="1" applyFill="1" applyAlignment="1">
      <alignment vertical="center"/>
    </xf>
    <xf numFmtId="0" fontId="66" fillId="26" borderId="0" xfId="58" applyFont="1" applyFill="1" applyBorder="1" applyAlignment="1" applyProtection="1">
      <alignment vertical="center"/>
    </xf>
    <xf numFmtId="0" fontId="67" fillId="26" borderId="0" xfId="58" applyFont="1" applyFill="1" applyBorder="1" applyAlignment="1" applyProtection="1">
      <alignment vertical="center"/>
    </xf>
    <xf numFmtId="0" fontId="67" fillId="26" borderId="38" xfId="58" applyFont="1" applyFill="1" applyBorder="1" applyAlignment="1" applyProtection="1">
      <alignment vertical="center"/>
    </xf>
    <xf numFmtId="0" fontId="101" fillId="0" borderId="69" xfId="58" applyFont="1" applyBorder="1" applyAlignment="1" applyProtection="1">
      <alignment vertical="center"/>
    </xf>
    <xf numFmtId="0" fontId="67" fillId="26" borderId="38" xfId="58" applyFont="1" applyFill="1" applyBorder="1" applyAlignment="1" applyProtection="1">
      <alignment horizontal="left" vertical="center" wrapText="1"/>
      <protection locked="0"/>
    </xf>
    <xf numFmtId="0" fontId="101" fillId="0" borderId="78" xfId="58" applyFont="1" applyBorder="1" applyAlignment="1" applyProtection="1">
      <alignment vertical="center"/>
    </xf>
    <xf numFmtId="0" fontId="102" fillId="26" borderId="0" xfId="58" applyFont="1" applyFill="1" applyAlignment="1">
      <alignment vertical="center"/>
    </xf>
    <xf numFmtId="0" fontId="101" fillId="0" borderId="80" xfId="58" applyFont="1" applyBorder="1" applyAlignment="1" applyProtection="1">
      <alignment vertical="center"/>
    </xf>
    <xf numFmtId="0" fontId="67" fillId="26" borderId="38" xfId="58" applyFont="1" applyFill="1" applyBorder="1" applyAlignment="1" applyProtection="1">
      <alignment horizontal="left" vertical="center"/>
      <protection locked="0"/>
    </xf>
    <xf numFmtId="0" fontId="67" fillId="26" borderId="0" xfId="58" applyFont="1" applyFill="1" applyBorder="1" applyAlignment="1" applyProtection="1">
      <alignment horizontal="left" vertical="center"/>
      <protection locked="0"/>
    </xf>
    <xf numFmtId="0" fontId="67" fillId="26" borderId="38" xfId="58" applyFont="1" applyFill="1" applyBorder="1" applyAlignment="1" applyProtection="1">
      <alignment horizontal="center" vertical="center"/>
    </xf>
    <xf numFmtId="0" fontId="101" fillId="26" borderId="53" xfId="58" applyFont="1" applyFill="1" applyBorder="1" applyAlignment="1" applyProtection="1">
      <alignment vertical="center"/>
    </xf>
    <xf numFmtId="0" fontId="67" fillId="26" borderId="0" xfId="58" applyFont="1" applyFill="1" applyBorder="1" applyAlignment="1">
      <alignment vertical="center"/>
    </xf>
    <xf numFmtId="0" fontId="101" fillId="26" borderId="69" xfId="58" applyFont="1" applyFill="1" applyBorder="1" applyAlignment="1" applyProtection="1">
      <alignment vertical="center"/>
    </xf>
    <xf numFmtId="0" fontId="67" fillId="26" borderId="81" xfId="58" applyFont="1" applyFill="1" applyBorder="1" applyAlignment="1">
      <alignment vertical="center"/>
    </xf>
    <xf numFmtId="0" fontId="103" fillId="26" borderId="33" xfId="58" applyFont="1" applyFill="1" applyBorder="1" applyAlignment="1" applyProtection="1">
      <alignment vertical="center"/>
    </xf>
    <xf numFmtId="10" fontId="103" fillId="0" borderId="33" xfId="41" applyNumberFormat="1" applyFont="1" applyBorder="1" applyAlignment="1">
      <alignment horizontal="center" vertical="center"/>
    </xf>
    <xf numFmtId="0" fontId="101" fillId="0" borderId="78" xfId="58" applyFont="1" applyFill="1" applyBorder="1" applyAlignment="1" applyProtection="1">
      <alignment vertical="center"/>
    </xf>
    <xf numFmtId="0" fontId="67" fillId="0" borderId="10" xfId="58" applyFont="1" applyBorder="1" applyAlignment="1">
      <alignment vertical="center"/>
    </xf>
    <xf numFmtId="10" fontId="67" fillId="0" borderId="33" xfId="41" applyNumberFormat="1" applyFont="1" applyBorder="1" applyAlignment="1">
      <alignment horizontal="center" vertical="center"/>
    </xf>
    <xf numFmtId="0" fontId="101" fillId="26" borderId="78" xfId="58" applyFont="1" applyFill="1" applyBorder="1" applyAlignment="1" applyProtection="1">
      <alignment vertical="center"/>
    </xf>
    <xf numFmtId="0" fontId="67" fillId="26" borderId="168" xfId="58" applyFont="1" applyFill="1" applyBorder="1" applyAlignment="1">
      <alignment vertical="center"/>
    </xf>
    <xf numFmtId="3" fontId="98" fillId="26" borderId="0" xfId="58" applyNumberFormat="1" applyFont="1" applyFill="1" applyBorder="1" applyAlignment="1">
      <alignment vertical="center"/>
    </xf>
    <xf numFmtId="0" fontId="104" fillId="26" borderId="39" xfId="58" applyFont="1" applyFill="1" applyBorder="1" applyAlignment="1" applyProtection="1">
      <alignment vertical="center"/>
    </xf>
    <xf numFmtId="0" fontId="67" fillId="26" borderId="169" xfId="58" applyFont="1" applyFill="1" applyBorder="1" applyAlignment="1">
      <alignment vertical="center"/>
    </xf>
    <xf numFmtId="0" fontId="67" fillId="26" borderId="11" xfId="58" applyFont="1" applyFill="1" applyBorder="1" applyAlignment="1">
      <alignment vertical="center"/>
    </xf>
    <xf numFmtId="0" fontId="67" fillId="26" borderId="10" xfId="58" applyFont="1" applyFill="1" applyBorder="1" applyAlignment="1">
      <alignment vertical="center"/>
    </xf>
    <xf numFmtId="0" fontId="101" fillId="26" borderId="80" xfId="58" applyFont="1" applyFill="1" applyBorder="1" applyAlignment="1" applyProtection="1">
      <alignment vertical="center"/>
    </xf>
    <xf numFmtId="0" fontId="67" fillId="26" borderId="82" xfId="58" applyFont="1" applyFill="1" applyBorder="1" applyAlignment="1">
      <alignment vertical="center"/>
    </xf>
    <xf numFmtId="0" fontId="101" fillId="26" borderId="47" xfId="58" applyFont="1" applyFill="1" applyBorder="1" applyAlignment="1" applyProtection="1">
      <alignment vertical="center"/>
    </xf>
    <xf numFmtId="0" fontId="67" fillId="0" borderId="172" xfId="58" applyFont="1" applyBorder="1" applyAlignment="1">
      <alignment vertical="center"/>
    </xf>
    <xf numFmtId="0" fontId="107" fillId="26" borderId="124" xfId="58" applyFont="1" applyFill="1" applyBorder="1" applyAlignment="1" applyProtection="1">
      <alignment horizontal="center" vertical="center"/>
    </xf>
    <xf numFmtId="10" fontId="67" fillId="26" borderId="49" xfId="41" applyNumberFormat="1" applyFont="1" applyFill="1" applyBorder="1" applyAlignment="1">
      <alignment horizontal="center" vertical="center"/>
    </xf>
    <xf numFmtId="0" fontId="107" fillId="26" borderId="131" xfId="58" applyFont="1" applyFill="1" applyBorder="1" applyAlignment="1" applyProtection="1">
      <alignment horizontal="center" vertical="center"/>
    </xf>
    <xf numFmtId="0" fontId="107" fillId="26" borderId="39" xfId="58" applyFont="1" applyFill="1" applyBorder="1" applyAlignment="1" applyProtection="1">
      <alignment vertical="center"/>
    </xf>
    <xf numFmtId="0" fontId="67" fillId="0" borderId="40" xfId="58" applyFont="1" applyBorder="1" applyAlignment="1">
      <alignment vertical="center"/>
    </xf>
    <xf numFmtId="0" fontId="107" fillId="26" borderId="0" xfId="58" applyFont="1" applyFill="1" applyBorder="1" applyAlignment="1" applyProtection="1">
      <alignment vertical="center"/>
    </xf>
    <xf numFmtId="6" fontId="67" fillId="26" borderId="38" xfId="62" applyNumberFormat="1" applyFont="1" applyFill="1" applyBorder="1" applyAlignment="1">
      <alignment horizontal="center" vertical="center"/>
    </xf>
    <xf numFmtId="0" fontId="67" fillId="0" borderId="176" xfId="58" applyFont="1" applyBorder="1" applyAlignment="1">
      <alignment vertical="center"/>
    </xf>
    <xf numFmtId="0" fontId="67" fillId="26" borderId="0" xfId="58" applyFont="1" applyFill="1" applyAlignment="1">
      <alignment vertical="center" wrapText="1"/>
    </xf>
    <xf numFmtId="0" fontId="107" fillId="26" borderId="69" xfId="58" applyFont="1" applyFill="1" applyBorder="1" applyAlignment="1" applyProtection="1">
      <alignment vertical="center"/>
    </xf>
    <xf numFmtId="0" fontId="67" fillId="0" borderId="0" xfId="58" applyFont="1" applyFill="1" applyAlignment="1">
      <alignment vertical="center"/>
    </xf>
    <xf numFmtId="0" fontId="101" fillId="0" borderId="49" xfId="58" applyFont="1" applyFill="1" applyBorder="1" applyAlignment="1" applyProtection="1">
      <alignment vertical="center"/>
    </xf>
    <xf numFmtId="0" fontId="67" fillId="0" borderId="13" xfId="58" applyFont="1" applyBorder="1" applyAlignment="1">
      <alignment vertical="center"/>
    </xf>
    <xf numFmtId="0" fontId="102" fillId="26" borderId="38" xfId="58" applyFont="1" applyFill="1" applyBorder="1" applyAlignment="1">
      <alignment vertical="center"/>
    </xf>
    <xf numFmtId="0" fontId="67" fillId="26" borderId="92" xfId="41" applyNumberFormat="1" applyFont="1" applyFill="1" applyBorder="1" applyAlignment="1">
      <alignment horizontal="center" vertical="center"/>
    </xf>
    <xf numFmtId="0" fontId="67" fillId="0" borderId="0" xfId="58" applyFont="1" applyFill="1" applyBorder="1" applyAlignment="1">
      <alignment vertical="center"/>
    </xf>
    <xf numFmtId="0" fontId="67" fillId="0" borderId="0" xfId="58" applyFont="1" applyBorder="1" applyAlignment="1">
      <alignment vertical="center"/>
    </xf>
    <xf numFmtId="0" fontId="67" fillId="0" borderId="38" xfId="58" applyFont="1" applyBorder="1" applyAlignment="1">
      <alignment vertical="center"/>
    </xf>
    <xf numFmtId="0" fontId="67" fillId="26" borderId="39" xfId="58" applyFont="1" applyFill="1" applyBorder="1" applyAlignment="1">
      <alignment vertical="center"/>
    </xf>
    <xf numFmtId="0" fontId="67" fillId="26" borderId="40" xfId="58" applyFont="1" applyFill="1" applyBorder="1" applyAlignment="1">
      <alignment vertical="center"/>
    </xf>
    <xf numFmtId="0" fontId="67" fillId="26" borderId="41" xfId="58" applyFont="1" applyFill="1" applyBorder="1" applyAlignment="1">
      <alignment vertical="center"/>
    </xf>
    <xf numFmtId="0" fontId="110" fillId="0" borderId="177" xfId="58" applyFont="1" applyFill="1" applyBorder="1" applyAlignment="1" applyProtection="1">
      <alignment horizontal="left" vertical="center"/>
    </xf>
    <xf numFmtId="0" fontId="110" fillId="0" borderId="178" xfId="58" applyFont="1" applyFill="1" applyBorder="1" applyAlignment="1" applyProtection="1">
      <alignment horizontal="right" vertical="center"/>
    </xf>
    <xf numFmtId="0" fontId="110" fillId="0" borderId="52" xfId="58" applyFont="1" applyFill="1" applyBorder="1" applyAlignment="1" applyProtection="1">
      <alignment horizontal="right" vertical="center"/>
    </xf>
    <xf numFmtId="0" fontId="67" fillId="0" borderId="179" xfId="58" applyFont="1" applyFill="1" applyBorder="1" applyAlignment="1">
      <alignment horizontal="left" vertical="center"/>
    </xf>
    <xf numFmtId="44" fontId="111" fillId="0" borderId="21" xfId="62" applyFont="1" applyFill="1" applyBorder="1" applyAlignment="1">
      <alignment vertical="center"/>
    </xf>
    <xf numFmtId="44" fontId="111" fillId="0" borderId="180" xfId="62" applyFont="1" applyFill="1" applyBorder="1" applyAlignment="1">
      <alignment vertical="center"/>
    </xf>
    <xf numFmtId="0" fontId="67" fillId="0" borderId="181" xfId="58" applyFont="1" applyFill="1" applyBorder="1" applyAlignment="1">
      <alignment horizontal="left" vertical="center"/>
    </xf>
    <xf numFmtId="253" fontId="111" fillId="0" borderId="182" xfId="58" applyNumberFormat="1" applyFont="1" applyFill="1" applyBorder="1" applyAlignment="1">
      <alignment vertical="center"/>
    </xf>
    <xf numFmtId="253" fontId="111" fillId="0" borderId="121" xfId="58" applyNumberFormat="1" applyFont="1" applyFill="1" applyBorder="1" applyAlignment="1">
      <alignment vertical="center"/>
    </xf>
    <xf numFmtId="0" fontId="67" fillId="0" borderId="183" xfId="58" applyFont="1" applyFill="1" applyBorder="1" applyAlignment="1">
      <alignment horizontal="left" vertical="center"/>
    </xf>
    <xf numFmtId="253" fontId="111" fillId="0" borderId="184" xfId="58" applyNumberFormat="1" applyFont="1" applyFill="1" applyBorder="1" applyAlignment="1">
      <alignment vertical="center"/>
    </xf>
    <xf numFmtId="253" fontId="111" fillId="0" borderId="123" xfId="58" applyNumberFormat="1" applyFont="1" applyFill="1" applyBorder="1" applyAlignment="1">
      <alignment vertical="center"/>
    </xf>
    <xf numFmtId="0" fontId="110" fillId="0" borderId="37" xfId="58" applyFont="1" applyFill="1" applyBorder="1" applyAlignment="1" applyProtection="1">
      <alignment horizontal="left" vertical="center"/>
    </xf>
    <xf numFmtId="0" fontId="67" fillId="26" borderId="16" xfId="58" applyFont="1" applyFill="1" applyBorder="1" applyAlignment="1">
      <alignment vertical="center"/>
    </xf>
    <xf numFmtId="0" fontId="67" fillId="26" borderId="104" xfId="58" applyFont="1" applyFill="1" applyBorder="1" applyAlignment="1">
      <alignment vertical="center"/>
    </xf>
    <xf numFmtId="0" fontId="66" fillId="26" borderId="53" xfId="58" applyFont="1" applyFill="1" applyBorder="1" applyAlignment="1">
      <alignment horizontal="left" vertical="center"/>
    </xf>
    <xf numFmtId="0" fontId="66" fillId="26" borderId="53" xfId="58" applyFont="1" applyFill="1" applyBorder="1" applyAlignment="1">
      <alignment horizontal="right" vertical="center"/>
    </xf>
    <xf numFmtId="257" fontId="66" fillId="26" borderId="185" xfId="58" applyNumberFormat="1" applyFont="1" applyFill="1" applyBorder="1" applyAlignment="1">
      <alignment horizontal="center" vertical="center" shrinkToFit="1"/>
    </xf>
    <xf numFmtId="0" fontId="66" fillId="26" borderId="54" xfId="58" applyNumberFormat="1" applyFont="1" applyFill="1" applyBorder="1" applyAlignment="1">
      <alignment vertical="center"/>
    </xf>
    <xf numFmtId="0" fontId="66" fillId="26" borderId="186" xfId="58" applyNumberFormat="1" applyFont="1" applyFill="1" applyBorder="1" applyAlignment="1">
      <alignment horizontal="left" vertical="center"/>
    </xf>
    <xf numFmtId="0" fontId="66" fillId="26" borderId="172" xfId="58" applyFont="1" applyFill="1" applyBorder="1" applyAlignment="1">
      <alignment horizontal="right" vertical="center"/>
    </xf>
    <xf numFmtId="0" fontId="66" fillId="26" borderId="11" xfId="58" applyFont="1" applyFill="1" applyBorder="1" applyAlignment="1">
      <alignment horizontal="right" vertical="center"/>
    </xf>
    <xf numFmtId="248" fontId="102" fillId="0" borderId="69" xfId="58" applyNumberFormat="1" applyFont="1" applyFill="1" applyBorder="1" applyAlignment="1">
      <alignment horizontal="center" vertical="center"/>
    </xf>
    <xf numFmtId="0" fontId="66" fillId="26" borderId="81" xfId="58" applyFont="1" applyFill="1" applyBorder="1" applyAlignment="1">
      <alignment vertical="center"/>
    </xf>
    <xf numFmtId="0" fontId="66" fillId="26" borderId="69" xfId="58" applyFont="1" applyFill="1" applyBorder="1" applyAlignment="1">
      <alignment horizontal="right" vertical="center"/>
    </xf>
    <xf numFmtId="0" fontId="66" fillId="26" borderId="92" xfId="58" applyFont="1" applyFill="1" applyBorder="1" applyAlignment="1">
      <alignment vertical="center"/>
    </xf>
    <xf numFmtId="0" fontId="66" fillId="26" borderId="0" xfId="58" applyFont="1" applyFill="1" applyBorder="1" applyAlignment="1">
      <alignment vertical="center"/>
    </xf>
    <xf numFmtId="0" fontId="66" fillId="26" borderId="82" xfId="58" applyFont="1" applyFill="1" applyBorder="1" applyAlignment="1">
      <alignment horizontal="right" vertical="center"/>
    </xf>
    <xf numFmtId="0" fontId="66" fillId="0" borderId="70" xfId="58" applyFont="1" applyBorder="1" applyAlignment="1" applyProtection="1">
      <alignment horizontal="center" vertical="center" wrapText="1"/>
    </xf>
    <xf numFmtId="0" fontId="66" fillId="0" borderId="33" xfId="58" applyFont="1" applyBorder="1" applyAlignment="1" applyProtection="1">
      <alignment horizontal="center" vertical="center"/>
    </xf>
    <xf numFmtId="49" fontId="67" fillId="26" borderId="63" xfId="58" applyNumberFormat="1" applyFont="1" applyFill="1" applyBorder="1" applyAlignment="1" applyProtection="1">
      <alignment horizontal="left" vertical="center" indent="1"/>
    </xf>
    <xf numFmtId="224" fontId="66" fillId="0" borderId="204" xfId="62" applyNumberFormat="1" applyFont="1" applyFill="1" applyBorder="1" applyAlignment="1" applyProtection="1">
      <alignment horizontal="center" vertical="center"/>
    </xf>
    <xf numFmtId="10" fontId="67" fillId="0" borderId="192" xfId="41" applyNumberFormat="1" applyFont="1" applyFill="1" applyBorder="1" applyAlignment="1" applyProtection="1">
      <alignment horizontal="center" vertical="center"/>
    </xf>
    <xf numFmtId="0" fontId="67" fillId="26" borderId="64" xfId="58" applyNumberFormat="1" applyFont="1" applyFill="1" applyBorder="1" applyAlignment="1" applyProtection="1">
      <alignment horizontal="left" vertical="center" indent="1"/>
    </xf>
    <xf numFmtId="253" fontId="113" fillId="0" borderId="207" xfId="62" applyNumberFormat="1" applyFont="1" applyFill="1" applyBorder="1" applyAlignment="1" applyProtection="1">
      <alignment horizontal="center" vertical="center" shrinkToFit="1"/>
    </xf>
    <xf numFmtId="258" fontId="113" fillId="26" borderId="209" xfId="58" applyNumberFormat="1" applyFont="1" applyFill="1" applyBorder="1" applyAlignment="1" applyProtection="1">
      <alignment horizontal="center" vertical="center"/>
    </xf>
    <xf numFmtId="10" fontId="67" fillId="0" borderId="38" xfId="41" applyNumberFormat="1" applyFont="1" applyFill="1" applyBorder="1" applyAlignment="1" applyProtection="1">
      <alignment horizontal="center" vertical="center"/>
    </xf>
    <xf numFmtId="224" fontId="66" fillId="26" borderId="52" xfId="62" applyNumberFormat="1" applyFont="1" applyFill="1" applyBorder="1" applyAlignment="1" applyProtection="1">
      <alignment horizontal="center" vertical="center"/>
    </xf>
    <xf numFmtId="10" fontId="67" fillId="0" borderId="59" xfId="41" applyNumberFormat="1" applyFont="1" applyFill="1" applyBorder="1" applyAlignment="1" applyProtection="1">
      <alignment horizontal="center" vertical="center"/>
    </xf>
    <xf numFmtId="0" fontId="66" fillId="26" borderId="39" xfId="58" applyFont="1" applyFill="1" applyBorder="1" applyAlignment="1" applyProtection="1">
      <alignment vertical="center"/>
    </xf>
    <xf numFmtId="0" fontId="66" fillId="26" borderId="40" xfId="58" applyFont="1" applyFill="1" applyBorder="1" applyAlignment="1" applyProtection="1">
      <alignment vertical="center"/>
    </xf>
    <xf numFmtId="260" fontId="66" fillId="26" borderId="40" xfId="58" applyNumberFormat="1" applyFont="1" applyFill="1" applyBorder="1" applyAlignment="1" applyProtection="1">
      <alignment horizontal="center" vertical="center"/>
    </xf>
    <xf numFmtId="261" fontId="66" fillId="26" borderId="40" xfId="58" applyNumberFormat="1" applyFont="1" applyFill="1" applyBorder="1" applyAlignment="1" applyProtection="1">
      <alignment horizontal="center" vertical="center"/>
    </xf>
    <xf numFmtId="10" fontId="66" fillId="26" borderId="41" xfId="41" applyNumberFormat="1" applyFont="1" applyFill="1" applyBorder="1" applyAlignment="1" applyProtection="1">
      <alignment horizontal="center" vertical="center"/>
    </xf>
    <xf numFmtId="0" fontId="66" fillId="26" borderId="53" xfId="58" applyFont="1" applyFill="1" applyBorder="1" applyAlignment="1" applyProtection="1">
      <alignment horizontal="left" vertical="center"/>
    </xf>
    <xf numFmtId="0" fontId="66" fillId="26" borderId="53" xfId="58" applyFont="1" applyFill="1" applyBorder="1" applyAlignment="1" applyProtection="1">
      <alignment horizontal="right" vertical="center"/>
    </xf>
    <xf numFmtId="14" fontId="66" fillId="26" borderId="185" xfId="58" applyNumberFormat="1" applyFont="1" applyFill="1" applyBorder="1" applyAlignment="1" applyProtection="1">
      <alignment horizontal="center" vertical="center"/>
    </xf>
    <xf numFmtId="14" fontId="66" fillId="26" borderId="119" xfId="58" applyNumberFormat="1" applyFont="1" applyFill="1" applyBorder="1" applyAlignment="1" applyProtection="1">
      <alignment horizontal="center" vertical="center"/>
    </xf>
    <xf numFmtId="0" fontId="66" fillId="26" borderId="172" xfId="58" applyFont="1" applyFill="1" applyBorder="1" applyAlignment="1" applyProtection="1">
      <alignment horizontal="right" vertical="center"/>
    </xf>
    <xf numFmtId="1" fontId="67" fillId="26" borderId="125" xfId="58" applyNumberFormat="1" applyFont="1" applyFill="1" applyBorder="1" applyAlignment="1" applyProtection="1">
      <alignment horizontal="center" vertical="center"/>
    </xf>
    <xf numFmtId="0" fontId="66" fillId="26" borderId="69" xfId="58" applyFont="1" applyFill="1" applyBorder="1" applyAlignment="1" applyProtection="1">
      <alignment vertical="center"/>
    </xf>
    <xf numFmtId="0" fontId="66" fillId="26" borderId="69" xfId="58" applyFont="1" applyFill="1" applyBorder="1" applyAlignment="1" applyProtection="1">
      <alignment horizontal="right" vertical="center"/>
    </xf>
    <xf numFmtId="0" fontId="66" fillId="26" borderId="92" xfId="58" applyFont="1" applyFill="1" applyBorder="1" applyAlignment="1" applyProtection="1">
      <alignment vertical="center"/>
    </xf>
    <xf numFmtId="0" fontId="66" fillId="26" borderId="168" xfId="58" applyFont="1" applyFill="1" applyBorder="1" applyAlignment="1" applyProtection="1">
      <alignment horizontal="right" vertical="center"/>
    </xf>
    <xf numFmtId="248" fontId="67" fillId="26" borderId="170" xfId="58" applyNumberFormat="1" applyFont="1" applyFill="1" applyBorder="1" applyAlignment="1" applyProtection="1">
      <alignment horizontal="center" vertical="center"/>
    </xf>
    <xf numFmtId="0" fontId="66" fillId="26" borderId="80" xfId="58" applyFont="1" applyFill="1" applyBorder="1" applyAlignment="1" applyProtection="1">
      <alignment vertical="center"/>
    </xf>
    <xf numFmtId="0" fontId="66" fillId="26" borderId="80" xfId="58" applyFont="1" applyFill="1" applyBorder="1" applyAlignment="1" applyProtection="1">
      <alignment horizontal="right" vertical="center"/>
    </xf>
    <xf numFmtId="0" fontId="66" fillId="26" borderId="82" xfId="58" applyFont="1" applyFill="1" applyBorder="1" applyAlignment="1" applyProtection="1">
      <alignment horizontal="right" vertical="center"/>
    </xf>
    <xf numFmtId="248" fontId="67" fillId="26" borderId="122" xfId="58" applyNumberFormat="1" applyFont="1" applyFill="1" applyBorder="1" applyAlignment="1" applyProtection="1">
      <alignment horizontal="center" vertical="center"/>
    </xf>
    <xf numFmtId="0" fontId="67" fillId="0" borderId="63" xfId="58" applyFont="1" applyBorder="1" applyAlignment="1" applyProtection="1">
      <alignment horizontal="center" vertical="center" wrapText="1"/>
    </xf>
    <xf numFmtId="0" fontId="67" fillId="26" borderId="101" xfId="58" applyNumberFormat="1" applyFont="1" applyFill="1" applyBorder="1" applyAlignment="1" applyProtection="1">
      <alignment vertical="center"/>
    </xf>
    <xf numFmtId="0" fontId="67" fillId="26" borderId="110" xfId="58" applyNumberFormat="1" applyFont="1" applyFill="1" applyBorder="1" applyAlignment="1" applyProtection="1">
      <alignment vertical="center"/>
    </xf>
    <xf numFmtId="0" fontId="67" fillId="26" borderId="188" xfId="58" applyNumberFormat="1" applyFont="1" applyFill="1" applyBorder="1" applyAlignment="1" applyProtection="1">
      <alignment vertical="center"/>
    </xf>
    <xf numFmtId="0" fontId="67" fillId="26" borderId="120" xfId="58" applyFont="1" applyFill="1" applyBorder="1" applyAlignment="1" applyProtection="1">
      <alignment vertical="center"/>
    </xf>
    <xf numFmtId="224" fontId="67" fillId="26" borderId="191" xfId="62" applyNumberFormat="1" applyFont="1" applyFill="1" applyBorder="1" applyAlignment="1" applyProtection="1">
      <alignment horizontal="center" vertical="center"/>
    </xf>
    <xf numFmtId="224" fontId="67" fillId="26" borderId="188" xfId="62" applyNumberFormat="1" applyFont="1" applyFill="1" applyBorder="1" applyAlignment="1" applyProtection="1">
      <alignment horizontal="center" vertical="center"/>
    </xf>
    <xf numFmtId="224" fontId="67" fillId="26" borderId="120" xfId="62" applyNumberFormat="1" applyFont="1" applyFill="1" applyBorder="1" applyAlignment="1" applyProtection="1">
      <alignment horizontal="center" vertical="center"/>
    </xf>
    <xf numFmtId="224" fontId="67" fillId="26" borderId="190" xfId="62" applyNumberFormat="1" applyFont="1" applyFill="1" applyBorder="1" applyAlignment="1" applyProtection="1">
      <alignment horizontal="center" vertical="center"/>
    </xf>
    <xf numFmtId="10" fontId="67" fillId="26" borderId="120" xfId="41" applyNumberFormat="1" applyFont="1" applyFill="1" applyBorder="1" applyAlignment="1" applyProtection="1">
      <alignment horizontal="center" vertical="center"/>
    </xf>
    <xf numFmtId="0" fontId="67" fillId="26" borderId="193" xfId="58" applyNumberFormat="1" applyFont="1" applyFill="1" applyBorder="1" applyAlignment="1" applyProtection="1">
      <alignment vertical="center"/>
    </xf>
    <xf numFmtId="0" fontId="67" fillId="26" borderId="28" xfId="58" applyNumberFormat="1" applyFont="1" applyFill="1" applyBorder="1" applyAlignment="1" applyProtection="1">
      <alignment vertical="center"/>
    </xf>
    <xf numFmtId="0" fontId="67" fillId="26" borderId="180" xfId="58" applyFont="1" applyFill="1" applyBorder="1" applyAlignment="1" applyProtection="1">
      <alignment vertical="center"/>
    </xf>
    <xf numFmtId="224" fontId="67" fillId="26" borderId="21" xfId="62" applyNumberFormat="1" applyFont="1" applyFill="1" applyBorder="1" applyAlignment="1" applyProtection="1">
      <alignment horizontal="center" vertical="center"/>
    </xf>
    <xf numFmtId="224" fontId="67" fillId="26" borderId="28" xfId="62" applyNumberFormat="1" applyFont="1" applyFill="1" applyBorder="1" applyAlignment="1" applyProtection="1">
      <alignment horizontal="center" vertical="center"/>
    </xf>
    <xf numFmtId="224" fontId="67" fillId="26" borderId="180" xfId="62" applyNumberFormat="1" applyFont="1" applyFill="1" applyBorder="1" applyAlignment="1" applyProtection="1">
      <alignment horizontal="center" vertical="center"/>
    </xf>
    <xf numFmtId="10" fontId="67" fillId="26" borderId="180" xfId="41" applyNumberFormat="1" applyFont="1" applyFill="1" applyBorder="1" applyAlignment="1" applyProtection="1">
      <alignment horizontal="center" vertical="center"/>
    </xf>
    <xf numFmtId="0" fontId="67" fillId="26" borderId="194" xfId="58" applyNumberFormat="1" applyFont="1" applyFill="1" applyBorder="1" applyAlignment="1" applyProtection="1">
      <alignment vertical="center"/>
    </xf>
    <xf numFmtId="0" fontId="67" fillId="26" borderId="195" xfId="58" applyNumberFormat="1" applyFont="1" applyFill="1" applyBorder="1" applyAlignment="1" applyProtection="1">
      <alignment vertical="center"/>
    </xf>
    <xf numFmtId="224" fontId="67" fillId="26" borderId="197" xfId="62" applyNumberFormat="1" applyFont="1" applyFill="1" applyBorder="1" applyAlignment="1" applyProtection="1">
      <alignment horizontal="center" vertical="center"/>
    </xf>
    <xf numFmtId="224" fontId="67" fillId="26" borderId="195" xfId="62" applyNumberFormat="1" applyFont="1" applyFill="1" applyBorder="1" applyAlignment="1" applyProtection="1">
      <alignment horizontal="center" vertical="center"/>
    </xf>
    <xf numFmtId="224" fontId="67" fillId="26" borderId="201" xfId="62" applyNumberFormat="1" applyFont="1" applyFill="1" applyBorder="1" applyAlignment="1" applyProtection="1">
      <alignment horizontal="center" vertical="center"/>
    </xf>
    <xf numFmtId="10" fontId="67" fillId="26" borderId="201" xfId="41" applyNumberFormat="1" applyFont="1" applyFill="1" applyBorder="1" applyAlignment="1" applyProtection="1">
      <alignment horizontal="center" vertical="center"/>
    </xf>
    <xf numFmtId="0" fontId="66" fillId="26" borderId="110" xfId="58" applyFont="1" applyFill="1" applyBorder="1" applyAlignment="1" applyProtection="1">
      <alignment horizontal="left" vertical="center"/>
    </xf>
    <xf numFmtId="0" fontId="66" fillId="26" borderId="136" xfId="58" applyFont="1" applyFill="1" applyBorder="1" applyAlignment="1" applyProtection="1">
      <alignment horizontal="right" vertical="center"/>
    </xf>
    <xf numFmtId="0" fontId="66" fillId="26" borderId="202" xfId="58" applyFont="1" applyFill="1" applyBorder="1" applyAlignment="1" applyProtection="1">
      <alignment horizontal="right" vertical="center"/>
    </xf>
    <xf numFmtId="224" fontId="66" fillId="26" borderId="188" xfId="62" applyNumberFormat="1" applyFont="1" applyFill="1" applyBorder="1" applyAlignment="1" applyProtection="1">
      <alignment horizontal="center"/>
    </xf>
    <xf numFmtId="224" fontId="66" fillId="26" borderId="203" xfId="62" applyNumberFormat="1" applyFont="1" applyFill="1" applyBorder="1" applyAlignment="1" applyProtection="1">
      <alignment horizontal="center" vertical="center"/>
    </xf>
    <xf numFmtId="224" fontId="66" fillId="26" borderId="200" xfId="62" applyNumberFormat="1" applyFont="1" applyFill="1" applyBorder="1" applyAlignment="1" applyProtection="1">
      <alignment horizontal="center" vertical="center"/>
    </xf>
    <xf numFmtId="0" fontId="113" fillId="26" borderId="194" xfId="58" applyFont="1" applyFill="1" applyBorder="1" applyAlignment="1" applyProtection="1">
      <alignment horizontal="left" vertical="center"/>
    </xf>
    <xf numFmtId="0" fontId="113" fillId="26" borderId="205" xfId="58" applyFont="1" applyFill="1" applyBorder="1" applyAlignment="1" applyProtection="1">
      <alignment horizontal="right" vertical="center"/>
    </xf>
    <xf numFmtId="0" fontId="113" fillId="26" borderId="206" xfId="58" applyFont="1" applyFill="1" applyBorder="1" applyAlignment="1" applyProtection="1">
      <alignment horizontal="right" vertical="center"/>
    </xf>
    <xf numFmtId="258" fontId="66" fillId="26" borderId="214" xfId="58" applyNumberFormat="1" applyFont="1" applyFill="1" applyBorder="1" applyAlignment="1" applyProtection="1">
      <alignment horizontal="center" vertical="center"/>
    </xf>
    <xf numFmtId="253" fontId="66" fillId="26" borderId="199" xfId="62" applyNumberFormat="1" applyFont="1" applyFill="1" applyBorder="1" applyAlignment="1" applyProtection="1">
      <alignment horizontal="center"/>
    </xf>
    <xf numFmtId="224" fontId="113" fillId="26" borderId="210" xfId="62" applyNumberFormat="1" applyFont="1" applyFill="1" applyBorder="1" applyAlignment="1" applyProtection="1">
      <alignment horizontal="center" vertical="center"/>
    </xf>
    <xf numFmtId="253" fontId="113" fillId="26" borderId="209" xfId="62" applyNumberFormat="1" applyFont="1" applyFill="1" applyBorder="1" applyAlignment="1" applyProtection="1">
      <alignment horizontal="center" vertical="center" shrinkToFit="1"/>
    </xf>
    <xf numFmtId="0" fontId="107" fillId="26" borderId="33" xfId="58" applyNumberFormat="1" applyFont="1" applyFill="1" applyBorder="1" applyAlignment="1" applyProtection="1">
      <alignment horizontal="left" vertical="center"/>
    </xf>
    <xf numFmtId="0" fontId="66" fillId="26" borderId="101" xfId="58" applyNumberFormat="1" applyFont="1" applyFill="1" applyBorder="1" applyAlignment="1" applyProtection="1">
      <alignment vertical="center"/>
    </xf>
    <xf numFmtId="0" fontId="66" fillId="26" borderId="110" xfId="58" applyNumberFormat="1" applyFont="1" applyFill="1" applyBorder="1" applyAlignment="1" applyProtection="1">
      <alignment vertical="center"/>
    </xf>
    <xf numFmtId="0" fontId="66" fillId="26" borderId="136" xfId="58" applyFont="1" applyFill="1" applyBorder="1" applyAlignment="1" applyProtection="1">
      <alignment vertical="center"/>
    </xf>
    <xf numFmtId="0" fontId="66" fillId="26" borderId="189" xfId="58" applyFont="1" applyFill="1" applyBorder="1" applyAlignment="1" applyProtection="1">
      <alignment vertical="center"/>
    </xf>
    <xf numFmtId="0" fontId="66" fillId="26" borderId="192" xfId="58" applyFont="1" applyFill="1" applyBorder="1" applyAlignment="1" applyProtection="1">
      <alignment vertical="center"/>
    </xf>
    <xf numFmtId="259" fontId="66" fillId="26" borderId="110" xfId="58" applyNumberFormat="1" applyFont="1" applyFill="1" applyBorder="1" applyAlignment="1" applyProtection="1">
      <alignment vertical="center"/>
    </xf>
    <xf numFmtId="259" fontId="66" fillId="26" borderId="136" xfId="58" applyNumberFormat="1" applyFont="1" applyFill="1" applyBorder="1" applyAlignment="1" applyProtection="1">
      <alignment vertical="center"/>
    </xf>
    <xf numFmtId="259" fontId="66" fillId="26" borderId="188" xfId="58" applyNumberFormat="1" applyFont="1" applyFill="1" applyBorder="1" applyAlignment="1" applyProtection="1">
      <alignment vertical="center"/>
    </xf>
    <xf numFmtId="0" fontId="66" fillId="26" borderId="193" xfId="58" applyNumberFormat="1" applyFont="1" applyFill="1" applyBorder="1" applyAlignment="1" applyProtection="1">
      <alignment vertical="center"/>
    </xf>
    <xf numFmtId="0" fontId="66" fillId="26" borderId="211" xfId="58" applyFont="1" applyFill="1" applyBorder="1" applyAlignment="1" applyProtection="1">
      <alignment vertical="center"/>
    </xf>
    <xf numFmtId="0" fontId="66" fillId="26" borderId="212" xfId="58" applyFont="1" applyFill="1" applyBorder="1" applyAlignment="1" applyProtection="1">
      <alignment vertical="center"/>
    </xf>
    <xf numFmtId="259" fontId="66" fillId="26" borderId="193" xfId="58" applyNumberFormat="1" applyFont="1" applyFill="1" applyBorder="1" applyAlignment="1" applyProtection="1">
      <alignment vertical="center"/>
    </xf>
    <xf numFmtId="259" fontId="66" fillId="26" borderId="211" xfId="58" applyNumberFormat="1" applyFont="1" applyFill="1" applyBorder="1" applyAlignment="1" applyProtection="1">
      <alignment vertical="center"/>
    </xf>
    <xf numFmtId="259" fontId="66" fillId="26" borderId="28" xfId="58" applyNumberFormat="1" applyFont="1" applyFill="1" applyBorder="1" applyAlignment="1" applyProtection="1">
      <alignment vertical="center"/>
    </xf>
    <xf numFmtId="259" fontId="66" fillId="26" borderId="205" xfId="58" applyNumberFormat="1" applyFont="1" applyFill="1" applyBorder="1" applyAlignment="1" applyProtection="1">
      <alignment vertical="center"/>
    </xf>
    <xf numFmtId="259" fontId="66" fillId="26" borderId="195" xfId="58" applyNumberFormat="1" applyFont="1" applyFill="1" applyBorder="1" applyAlignment="1" applyProtection="1">
      <alignment vertical="center"/>
    </xf>
    <xf numFmtId="224" fontId="66" fillId="26" borderId="191" xfId="62" applyNumberFormat="1" applyFont="1" applyFill="1" applyBorder="1" applyAlignment="1" applyProtection="1">
      <alignment horizontal="center" vertical="center"/>
    </xf>
    <xf numFmtId="0" fontId="66" fillId="26" borderId="213" xfId="58" applyNumberFormat="1" applyFont="1" applyFill="1" applyBorder="1" applyAlignment="1" applyProtection="1">
      <alignment vertical="center"/>
    </xf>
    <xf numFmtId="0" fontId="66" fillId="26" borderId="194" xfId="58" applyNumberFormat="1" applyFont="1" applyFill="1" applyBorder="1" applyAlignment="1" applyProtection="1">
      <alignment vertical="center"/>
    </xf>
    <xf numFmtId="0" fontId="66" fillId="26" borderId="205" xfId="58" applyFont="1" applyFill="1" applyBorder="1" applyAlignment="1" applyProtection="1">
      <alignment vertical="center"/>
    </xf>
    <xf numFmtId="0" fontId="66" fillId="26" borderId="206" xfId="58" applyFont="1" applyFill="1" applyBorder="1" applyAlignment="1" applyProtection="1">
      <alignment vertical="center"/>
    </xf>
    <xf numFmtId="224" fontId="66" fillId="26" borderId="186" xfId="62" applyNumberFormat="1" applyFont="1" applyFill="1" applyBorder="1" applyAlignment="1" applyProtection="1">
      <alignment horizontal="center" vertical="center"/>
    </xf>
    <xf numFmtId="224" fontId="107" fillId="26" borderId="186" xfId="62" applyNumberFormat="1" applyFont="1" applyFill="1" applyBorder="1" applyAlignment="1" applyProtection="1">
      <alignment horizontal="center" vertical="center" shrinkToFit="1"/>
    </xf>
    <xf numFmtId="0" fontId="67" fillId="26" borderId="121" xfId="58" applyFont="1" applyFill="1" applyBorder="1" applyAlignment="1" applyProtection="1">
      <alignment vertical="center"/>
    </xf>
    <xf numFmtId="0" fontId="67" fillId="32" borderId="165" xfId="58" applyFont="1" applyFill="1" applyBorder="1" applyAlignment="1" applyProtection="1">
      <alignment vertical="center"/>
      <protection locked="0"/>
    </xf>
    <xf numFmtId="0" fontId="67" fillId="32" borderId="92" xfId="58" applyFont="1" applyFill="1" applyBorder="1" applyAlignment="1" applyProtection="1">
      <alignment vertical="center"/>
      <protection locked="0"/>
    </xf>
    <xf numFmtId="0" fontId="67" fillId="32" borderId="166" xfId="58" applyFont="1" applyFill="1" applyBorder="1" applyAlignment="1" applyProtection="1">
      <alignment vertical="center"/>
      <protection locked="0"/>
    </xf>
    <xf numFmtId="0" fontId="67" fillId="32" borderId="105" xfId="58" applyFont="1" applyFill="1" applyBorder="1" applyAlignment="1" applyProtection="1">
      <alignment vertical="center"/>
      <protection locked="0"/>
    </xf>
    <xf numFmtId="0" fontId="67" fillId="32" borderId="132" xfId="58" applyFont="1" applyFill="1" applyBorder="1" applyAlignment="1" applyProtection="1">
      <alignment horizontal="left" vertical="center"/>
      <protection locked="0"/>
    </xf>
    <xf numFmtId="0" fontId="67" fillId="32" borderId="91" xfId="58" applyFont="1" applyFill="1" applyBorder="1" applyAlignment="1" applyProtection="1">
      <alignment horizontal="left" vertical="center"/>
      <protection locked="0"/>
    </xf>
    <xf numFmtId="173" fontId="99" fillId="32" borderId="167" xfId="58" applyNumberFormat="1" applyFont="1" applyFill="1" applyBorder="1" applyAlignment="1" applyProtection="1">
      <alignment horizontal="center" vertical="center"/>
      <protection locked="0"/>
    </xf>
    <xf numFmtId="0" fontId="67" fillId="32" borderId="124" xfId="58" applyFont="1" applyFill="1" applyBorder="1" applyAlignment="1" applyProtection="1">
      <alignment horizontal="center" vertical="center"/>
      <protection locked="0"/>
    </xf>
    <xf numFmtId="0" fontId="67" fillId="32" borderId="105" xfId="58" applyFont="1" applyFill="1" applyBorder="1" applyAlignment="1" applyProtection="1">
      <alignment horizontal="center" vertical="center"/>
      <protection locked="0"/>
    </xf>
    <xf numFmtId="248" fontId="67" fillId="32" borderId="170" xfId="58" applyNumberFormat="1" applyFont="1" applyFill="1" applyBorder="1" applyAlignment="1">
      <alignment horizontal="center" vertical="center"/>
    </xf>
    <xf numFmtId="14" fontId="66" fillId="32" borderId="185" xfId="58" applyNumberFormat="1" applyFont="1" applyFill="1" applyBorder="1" applyAlignment="1">
      <alignment horizontal="center" vertical="center"/>
    </xf>
    <xf numFmtId="0" fontId="66" fillId="32" borderId="110" xfId="58" applyFont="1" applyFill="1" applyBorder="1" applyAlignment="1" applyProtection="1">
      <alignment horizontal="left" vertical="center"/>
    </xf>
    <xf numFmtId="0" fontId="66" fillId="32" borderId="136" xfId="58" applyFont="1" applyFill="1" applyBorder="1" applyAlignment="1" applyProtection="1">
      <alignment horizontal="right" vertical="center"/>
    </xf>
    <xf numFmtId="0" fontId="66" fillId="32" borderId="202" xfId="58" applyFont="1" applyFill="1" applyBorder="1" applyAlignment="1" applyProtection="1">
      <alignment horizontal="right" vertical="center"/>
    </xf>
    <xf numFmtId="0" fontId="113" fillId="32" borderId="194" xfId="58" applyFont="1" applyFill="1" applyBorder="1" applyAlignment="1" applyProtection="1">
      <alignment horizontal="left" vertical="center"/>
    </xf>
    <xf numFmtId="0" fontId="113" fillId="32" borderId="205" xfId="58" applyFont="1" applyFill="1" applyBorder="1" applyAlignment="1" applyProtection="1">
      <alignment horizontal="right" vertical="center"/>
    </xf>
    <xf numFmtId="0" fontId="113" fillId="32" borderId="206" xfId="58" applyFont="1" applyFill="1" applyBorder="1" applyAlignment="1" applyProtection="1">
      <alignment horizontal="right" vertical="center"/>
    </xf>
    <xf numFmtId="2" fontId="67" fillId="32" borderId="0" xfId="58" applyNumberFormat="1" applyFont="1" applyFill="1" applyBorder="1" applyAlignment="1" applyProtection="1">
      <alignment horizontal="center" vertical="center"/>
    </xf>
    <xf numFmtId="224" fontId="67" fillId="32" borderId="0" xfId="62" applyNumberFormat="1" applyFont="1" applyFill="1" applyBorder="1" applyAlignment="1" applyProtection="1">
      <alignment horizontal="center" vertical="center"/>
      <protection locked="0"/>
    </xf>
    <xf numFmtId="0" fontId="66" fillId="32" borderId="37" xfId="58" applyFont="1" applyFill="1" applyBorder="1" applyAlignment="1" applyProtection="1">
      <alignment vertical="center"/>
      <protection locked="0"/>
    </xf>
    <xf numFmtId="224" fontId="66" fillId="32" borderId="52" xfId="62" applyNumberFormat="1" applyFont="1" applyFill="1" applyBorder="1" applyAlignment="1" applyProtection="1">
      <alignment horizontal="center" vertical="center"/>
    </xf>
    <xf numFmtId="10" fontId="67" fillId="32" borderId="38" xfId="41" applyNumberFormat="1" applyFont="1" applyFill="1" applyBorder="1" applyAlignment="1" applyProtection="1">
      <alignment horizontal="center" vertical="center"/>
    </xf>
    <xf numFmtId="10" fontId="67" fillId="32" borderId="41" xfId="41" applyNumberFormat="1" applyFont="1" applyFill="1" applyBorder="1" applyAlignment="1" applyProtection="1">
      <alignment horizontal="center" vertical="center"/>
    </xf>
    <xf numFmtId="224" fontId="66" fillId="32" borderId="36" xfId="62" applyNumberFormat="1" applyFont="1" applyFill="1" applyBorder="1" applyAlignment="1" applyProtection="1">
      <alignment horizontal="center" vertical="center"/>
    </xf>
    <xf numFmtId="224" fontId="66" fillId="32" borderId="40" xfId="62" applyNumberFormat="1" applyFont="1" applyFill="1" applyBorder="1" applyAlignment="1" applyProtection="1">
      <alignment horizontal="center" vertical="center"/>
    </xf>
    <xf numFmtId="224" fontId="67" fillId="32" borderId="0" xfId="62" applyNumberFormat="1" applyFont="1" applyFill="1" applyBorder="1" applyAlignment="1" applyProtection="1">
      <alignment horizontal="center" vertical="center"/>
    </xf>
    <xf numFmtId="264" fontId="95" fillId="32" borderId="36" xfId="41" applyNumberFormat="1" applyFont="1" applyFill="1" applyBorder="1" applyAlignment="1" applyProtection="1">
      <alignment vertical="center"/>
    </xf>
    <xf numFmtId="190" fontId="121" fillId="26" borderId="48" xfId="38" applyNumberFormat="1" applyFont="1" applyFill="1" applyBorder="1" applyAlignment="1" applyProtection="1">
      <alignment horizontal="center" vertical="center" wrapText="1"/>
    </xf>
    <xf numFmtId="265" fontId="95" fillId="40" borderId="67" xfId="41" applyNumberFormat="1" applyFont="1" applyFill="1" applyBorder="1" applyAlignment="1" applyProtection="1">
      <alignment vertical="center"/>
    </xf>
    <xf numFmtId="2" fontId="67" fillId="26" borderId="39" xfId="58" applyNumberFormat="1" applyFont="1" applyFill="1" applyBorder="1" applyAlignment="1" applyProtection="1">
      <alignment horizontal="center" vertical="center"/>
    </xf>
    <xf numFmtId="224" fontId="67" fillId="26" borderId="40" xfId="62" applyNumberFormat="1" applyFont="1" applyFill="1" applyBorder="1" applyAlignment="1" applyProtection="1">
      <alignment horizontal="center" vertical="center"/>
    </xf>
    <xf numFmtId="224" fontId="66" fillId="26" borderId="36" xfId="62" applyNumberFormat="1" applyFont="1" applyFill="1" applyBorder="1" applyAlignment="1" applyProtection="1">
      <alignment horizontal="center" vertical="center"/>
    </xf>
    <xf numFmtId="0" fontId="91" fillId="26" borderId="162" xfId="0" applyFont="1" applyFill="1" applyBorder="1" applyAlignment="1" applyProtection="1">
      <alignment horizontal="left" vertical="center"/>
    </xf>
    <xf numFmtId="0" fontId="91" fillId="26" borderId="65" xfId="0" applyFont="1" applyFill="1" applyBorder="1" applyAlignment="1" applyProtection="1">
      <alignment horizontal="left" vertical="center"/>
    </xf>
    <xf numFmtId="0" fontId="15" fillId="34" borderId="0" xfId="0" applyFont="1" applyFill="1"/>
    <xf numFmtId="10" fontId="0" fillId="34" borderId="0" xfId="41" applyNumberFormat="1" applyFont="1" applyFill="1"/>
    <xf numFmtId="1" fontId="0" fillId="34" borderId="0" xfId="0" applyNumberFormat="1" applyFill="1"/>
    <xf numFmtId="3" fontId="67" fillId="32" borderId="124" xfId="58" applyNumberFormat="1" applyFont="1" applyFill="1" applyBorder="1" applyAlignment="1">
      <alignment horizontal="center" vertical="center"/>
    </xf>
    <xf numFmtId="3" fontId="67" fillId="32" borderId="170" xfId="58" applyNumberFormat="1" applyFont="1" applyFill="1" applyBorder="1" applyAlignment="1">
      <alignment horizontal="center" vertical="center"/>
    </xf>
    <xf numFmtId="3" fontId="67" fillId="32" borderId="76" xfId="58" applyNumberFormat="1" applyFont="1" applyFill="1" applyBorder="1" applyAlignment="1">
      <alignment horizontal="center" vertical="center"/>
    </xf>
    <xf numFmtId="2" fontId="67" fillId="32" borderId="122" xfId="58" applyNumberFormat="1" applyFont="1" applyFill="1" applyBorder="1" applyAlignment="1">
      <alignment horizontal="center" vertical="center"/>
    </xf>
    <xf numFmtId="198" fontId="67" fillId="32" borderId="170" xfId="62" applyNumberFormat="1" applyFont="1" applyFill="1" applyBorder="1" applyAlignment="1">
      <alignment horizontal="center" vertical="center"/>
    </xf>
    <xf numFmtId="198" fontId="67" fillId="32" borderId="171" xfId="62" applyNumberFormat="1" applyFont="1" applyFill="1" applyBorder="1" applyAlignment="1">
      <alignment horizontal="center" vertical="center"/>
    </xf>
    <xf numFmtId="198" fontId="67" fillId="32" borderId="119" xfId="62" applyNumberFormat="1" applyFont="1" applyFill="1" applyBorder="1" applyAlignment="1">
      <alignment horizontal="center" vertical="center"/>
    </xf>
    <xf numFmtId="198" fontId="67" fillId="32" borderId="131" xfId="62" applyNumberFormat="1" applyFont="1" applyFill="1" applyBorder="1" applyAlignment="1">
      <alignment horizontal="center" vertical="center"/>
    </xf>
    <xf numFmtId="6" fontId="67" fillId="32" borderId="122" xfId="62" applyNumberFormat="1" applyFont="1" applyFill="1" applyBorder="1" applyAlignment="1">
      <alignment horizontal="center" vertical="center"/>
    </xf>
    <xf numFmtId="0" fontId="67" fillId="32" borderId="92" xfId="41" applyNumberFormat="1" applyFont="1" applyFill="1" applyBorder="1" applyAlignment="1">
      <alignment horizontal="right" vertical="center"/>
    </xf>
    <xf numFmtId="8" fontId="107" fillId="32" borderId="29" xfId="63" applyNumberFormat="1" applyFont="1" applyFill="1" applyBorder="1" applyAlignment="1">
      <alignment horizontal="right" vertical="center"/>
    </xf>
    <xf numFmtId="250" fontId="107" fillId="32" borderId="32" xfId="63" applyNumberFormat="1" applyFont="1" applyFill="1" applyBorder="1" applyAlignment="1">
      <alignment horizontal="right" vertical="center"/>
    </xf>
    <xf numFmtId="10" fontId="67" fillId="32" borderId="25" xfId="41" applyNumberFormat="1" applyFont="1" applyFill="1" applyBorder="1" applyAlignment="1">
      <alignment horizontal="center" vertical="center"/>
    </xf>
    <xf numFmtId="250" fontId="107" fillId="32" borderId="49" xfId="63" applyNumberFormat="1" applyFont="1" applyFill="1" applyBorder="1" applyAlignment="1">
      <alignment horizontal="center" vertical="center" shrinkToFit="1"/>
    </xf>
    <xf numFmtId="250" fontId="107" fillId="32" borderId="50" xfId="63" applyNumberFormat="1" applyFont="1" applyFill="1" applyBorder="1" applyAlignment="1">
      <alignment horizontal="center" vertical="center"/>
    </xf>
    <xf numFmtId="251" fontId="109" fillId="32" borderId="174" xfId="58" applyNumberFormat="1" applyFont="1" applyFill="1" applyBorder="1" applyAlignment="1">
      <alignment horizontal="center" vertical="center"/>
    </xf>
    <xf numFmtId="0" fontId="107" fillId="32" borderId="33" xfId="58" applyNumberFormat="1" applyFont="1" applyFill="1" applyBorder="1" applyAlignment="1" applyProtection="1">
      <alignment horizontal="left" vertical="center"/>
      <protection locked="0"/>
    </xf>
    <xf numFmtId="224" fontId="66" fillId="32" borderId="203" xfId="62" applyNumberFormat="1" applyFont="1" applyFill="1" applyBorder="1" applyAlignment="1" applyProtection="1">
      <alignment horizontal="center" vertical="center"/>
    </xf>
    <xf numFmtId="224" fontId="113" fillId="32" borderId="195" xfId="62" applyNumberFormat="1" applyFont="1" applyFill="1" applyBorder="1" applyAlignment="1" applyProtection="1">
      <alignment horizontal="center" vertical="center"/>
    </xf>
    <xf numFmtId="224" fontId="113" fillId="32" borderId="210" xfId="62" applyNumberFormat="1" applyFont="1" applyFill="1" applyBorder="1" applyAlignment="1" applyProtection="1">
      <alignment horizontal="center" vertical="center"/>
    </xf>
    <xf numFmtId="224" fontId="66" fillId="32" borderId="178" xfId="62" applyNumberFormat="1" applyFont="1" applyFill="1" applyBorder="1" applyAlignment="1" applyProtection="1">
      <alignment horizontal="center" vertical="center"/>
    </xf>
    <xf numFmtId="224" fontId="66" fillId="32" borderId="120" xfId="62" applyNumberFormat="1" applyFont="1" applyFill="1" applyBorder="1" applyAlignment="1" applyProtection="1">
      <alignment horizontal="center" vertical="center"/>
    </xf>
    <xf numFmtId="253" fontId="113" fillId="32" borderId="197" xfId="62" applyNumberFormat="1" applyFont="1" applyFill="1" applyBorder="1" applyAlignment="1" applyProtection="1">
      <alignment horizontal="center" vertical="center" shrinkToFit="1"/>
    </xf>
    <xf numFmtId="258" fontId="113" fillId="32" borderId="197" xfId="58" applyNumberFormat="1" applyFont="1" applyFill="1" applyBorder="1" applyAlignment="1" applyProtection="1">
      <alignment horizontal="center" vertical="center"/>
    </xf>
    <xf numFmtId="253" fontId="113" fillId="32" borderId="206" xfId="62" applyNumberFormat="1" applyFont="1" applyFill="1" applyBorder="1" applyAlignment="1" applyProtection="1">
      <alignment horizontal="center" vertical="center" shrinkToFit="1"/>
    </xf>
    <xf numFmtId="258" fontId="66" fillId="32" borderId="208" xfId="58" applyNumberFormat="1" applyFont="1" applyFill="1" applyBorder="1" applyAlignment="1" applyProtection="1">
      <alignment horizontal="center" vertical="center"/>
    </xf>
    <xf numFmtId="253" fontId="113" fillId="32" borderId="209" xfId="62" applyNumberFormat="1" applyFont="1" applyFill="1" applyBorder="1" applyAlignment="1" applyProtection="1">
      <alignment horizontal="center" vertical="center" shrinkToFit="1"/>
    </xf>
    <xf numFmtId="258" fontId="113" fillId="32" borderId="209" xfId="58" applyNumberFormat="1" applyFont="1" applyFill="1" applyBorder="1" applyAlignment="1" applyProtection="1">
      <alignment horizontal="center" vertical="center"/>
    </xf>
    <xf numFmtId="224" fontId="107" fillId="32" borderId="54" xfId="62" applyNumberFormat="1" applyFont="1" applyFill="1" applyBorder="1" applyAlignment="1" applyProtection="1">
      <alignment horizontal="center" vertical="center" shrinkToFit="1"/>
    </xf>
    <xf numFmtId="248" fontId="102" fillId="32" borderId="170" xfId="58" applyNumberFormat="1" applyFont="1" applyFill="1" applyBorder="1" applyAlignment="1">
      <alignment horizontal="center" vertical="center"/>
    </xf>
    <xf numFmtId="1" fontId="67" fillId="32" borderId="125" xfId="58" applyNumberFormat="1" applyFont="1" applyFill="1" applyBorder="1" applyAlignment="1">
      <alignment horizontal="center" vertical="center"/>
    </xf>
    <xf numFmtId="257" fontId="66" fillId="32" borderId="119" xfId="58" applyNumberFormat="1" applyFont="1" applyFill="1" applyBorder="1" applyAlignment="1">
      <alignment horizontal="center" vertical="center" shrinkToFit="1"/>
    </xf>
    <xf numFmtId="248" fontId="67" fillId="32" borderId="122" xfId="58" applyNumberFormat="1" applyFont="1" applyFill="1" applyBorder="1" applyAlignment="1">
      <alignment horizontal="center" vertical="center"/>
    </xf>
    <xf numFmtId="224" fontId="67" fillId="32" borderId="190" xfId="62" applyNumberFormat="1" applyFont="1" applyFill="1" applyBorder="1" applyAlignment="1" applyProtection="1">
      <alignment horizontal="center" vertical="center"/>
      <protection locked="0"/>
    </xf>
    <xf numFmtId="224" fontId="67" fillId="32" borderId="197" xfId="62" applyNumberFormat="1" applyFont="1" applyFill="1" applyBorder="1" applyAlignment="1" applyProtection="1">
      <alignment horizontal="center" vertical="center"/>
      <protection locked="0"/>
    </xf>
    <xf numFmtId="224" fontId="67" fillId="32" borderId="121" xfId="62" applyNumberFormat="1" applyFont="1" applyFill="1" applyBorder="1" applyAlignment="1" applyProtection="1">
      <alignment horizontal="center" vertical="center"/>
    </xf>
    <xf numFmtId="224" fontId="67" fillId="32" borderId="122" xfId="62" applyNumberFormat="1" applyFont="1" applyFill="1" applyBorder="1" applyAlignment="1" applyProtection="1">
      <alignment horizontal="center" vertical="center"/>
    </xf>
    <xf numFmtId="224" fontId="67" fillId="32" borderId="191" xfId="62" applyNumberFormat="1" applyFont="1" applyFill="1" applyBorder="1" applyAlignment="1" applyProtection="1">
      <alignment horizontal="center" vertical="center"/>
    </xf>
    <xf numFmtId="10" fontId="67" fillId="32" borderId="192" xfId="41" applyNumberFormat="1" applyFont="1" applyFill="1" applyBorder="1" applyAlignment="1" applyProtection="1">
      <alignment horizontal="center" vertical="center"/>
    </xf>
    <xf numFmtId="224" fontId="67" fillId="32" borderId="182" xfId="62" applyNumberFormat="1" applyFont="1" applyFill="1" applyBorder="1" applyAlignment="1" applyProtection="1">
      <alignment horizontal="center" vertical="center"/>
    </xf>
    <xf numFmtId="224" fontId="67" fillId="32" borderId="21" xfId="62" applyNumberFormat="1" applyFont="1" applyFill="1" applyBorder="1" applyAlignment="1" applyProtection="1">
      <alignment horizontal="center" vertical="center"/>
    </xf>
    <xf numFmtId="224" fontId="67" fillId="32" borderId="198" xfId="62" applyNumberFormat="1" applyFont="1" applyFill="1" applyBorder="1" applyAlignment="1" applyProtection="1">
      <alignment horizontal="center" vertical="center"/>
    </xf>
    <xf numFmtId="10" fontId="67" fillId="32" borderId="201" xfId="41" applyNumberFormat="1" applyFont="1" applyFill="1" applyBorder="1" applyAlignment="1" applyProtection="1">
      <alignment horizontal="center" vertical="center"/>
    </xf>
    <xf numFmtId="0" fontId="96" fillId="0" borderId="0" xfId="0" applyFont="1" applyProtection="1"/>
    <xf numFmtId="0" fontId="96" fillId="0" borderId="0" xfId="0" applyFont="1" applyBorder="1" applyProtection="1"/>
    <xf numFmtId="0" fontId="96" fillId="0" borderId="0" xfId="0" applyFont="1" applyFill="1" applyBorder="1" applyProtection="1"/>
    <xf numFmtId="0" fontId="96" fillId="0" borderId="12" xfId="0" applyFont="1" applyBorder="1" applyProtection="1"/>
    <xf numFmtId="0" fontId="96" fillId="32" borderId="0" xfId="0" applyFont="1" applyFill="1" applyBorder="1" applyProtection="1"/>
    <xf numFmtId="0" fontId="99" fillId="32" borderId="59" xfId="58" applyNumberFormat="1" applyFont="1" applyFill="1" applyBorder="1" applyAlignment="1" applyProtection="1">
      <alignment horizontal="center" vertical="center"/>
      <protection locked="0"/>
    </xf>
    <xf numFmtId="0" fontId="96" fillId="0" borderId="0" xfId="0" applyFont="1" applyAlignment="1" applyProtection="1">
      <alignment vertical="center"/>
    </xf>
    <xf numFmtId="0" fontId="67" fillId="35" borderId="131" xfId="58" applyFont="1" applyFill="1" applyBorder="1" applyAlignment="1" applyProtection="1">
      <alignment horizontal="center" vertical="center"/>
      <protection locked="0"/>
    </xf>
    <xf numFmtId="0" fontId="67" fillId="35" borderId="41" xfId="58" applyFont="1" applyFill="1" applyBorder="1" applyAlignment="1" applyProtection="1">
      <alignment horizontal="center" vertical="center"/>
      <protection locked="0"/>
    </xf>
    <xf numFmtId="251" fontId="67" fillId="35" borderId="125" xfId="58" applyNumberFormat="1" applyFont="1" applyFill="1" applyBorder="1" applyAlignment="1">
      <alignment horizontal="center" vertical="center"/>
    </xf>
    <xf numFmtId="14" fontId="66" fillId="35" borderId="185" xfId="58" applyNumberFormat="1" applyFont="1" applyFill="1" applyBorder="1" applyAlignment="1">
      <alignment horizontal="center" vertical="center"/>
    </xf>
    <xf numFmtId="0" fontId="67" fillId="35" borderId="101" xfId="58" applyNumberFormat="1" applyFont="1" applyFill="1" applyBorder="1" applyAlignment="1" applyProtection="1">
      <alignment vertical="center"/>
      <protection locked="0"/>
    </xf>
    <xf numFmtId="0" fontId="67" fillId="35" borderId="110" xfId="58" applyFont="1" applyFill="1" applyBorder="1" applyAlignment="1" applyProtection="1">
      <alignment vertical="center"/>
      <protection locked="0"/>
    </xf>
    <xf numFmtId="0" fontId="67" fillId="35" borderId="188" xfId="58" applyFont="1" applyFill="1" applyBorder="1" applyAlignment="1" applyProtection="1">
      <alignment vertical="center"/>
      <protection locked="0"/>
    </xf>
    <xf numFmtId="49" fontId="67" fillId="35" borderId="189" xfId="58" applyNumberFormat="1" applyFont="1" applyFill="1" applyBorder="1" applyAlignment="1" applyProtection="1">
      <alignment vertical="center"/>
      <protection locked="0"/>
    </xf>
    <xf numFmtId="0" fontId="67" fillId="35" borderId="193" xfId="58" applyFont="1" applyFill="1" applyBorder="1" applyAlignment="1" applyProtection="1">
      <alignment vertical="center"/>
      <protection locked="0"/>
    </xf>
    <xf numFmtId="0" fontId="67" fillId="35" borderId="28" xfId="58" applyFont="1" applyFill="1" applyBorder="1" applyAlignment="1" applyProtection="1">
      <alignment vertical="center"/>
      <protection locked="0"/>
    </xf>
    <xf numFmtId="0" fontId="67" fillId="35" borderId="64" xfId="58" applyNumberFormat="1" applyFont="1" applyFill="1" applyBorder="1" applyAlignment="1" applyProtection="1">
      <alignment vertical="center"/>
      <protection locked="0"/>
    </xf>
    <xf numFmtId="0" fontId="67" fillId="35" borderId="194" xfId="58" applyFont="1" applyFill="1" applyBorder="1" applyAlignment="1" applyProtection="1">
      <alignment vertical="center"/>
      <protection locked="0"/>
    </xf>
    <xf numFmtId="0" fontId="67" fillId="35" borderId="195" xfId="58" applyFont="1" applyFill="1" applyBorder="1" applyAlignment="1" applyProtection="1">
      <alignment vertical="center"/>
      <protection locked="0"/>
    </xf>
    <xf numFmtId="49" fontId="67" fillId="35" borderId="40" xfId="58" applyNumberFormat="1" applyFont="1" applyFill="1" applyBorder="1" applyAlignment="1" applyProtection="1">
      <alignment vertical="center"/>
      <protection locked="0"/>
    </xf>
    <xf numFmtId="224" fontId="67" fillId="35" borderId="190" xfId="62" applyNumberFormat="1" applyFont="1" applyFill="1" applyBorder="1" applyAlignment="1" applyProtection="1">
      <alignment horizontal="center" vertical="center"/>
      <protection locked="0"/>
    </xf>
    <xf numFmtId="224" fontId="67" fillId="35" borderId="196" xfId="62" applyNumberFormat="1" applyFont="1" applyFill="1" applyBorder="1" applyAlignment="1" applyProtection="1">
      <alignment horizontal="center" vertical="center"/>
      <protection locked="0"/>
    </xf>
    <xf numFmtId="224" fontId="67" fillId="35" borderId="182" xfId="62" applyNumberFormat="1" applyFont="1" applyFill="1" applyBorder="1" applyAlignment="1" applyProtection="1">
      <alignment horizontal="center" vertical="center"/>
      <protection locked="0"/>
    </xf>
    <xf numFmtId="224" fontId="67" fillId="35" borderId="198" xfId="62" applyNumberFormat="1" applyFont="1" applyFill="1" applyBorder="1" applyAlignment="1" applyProtection="1">
      <alignment horizontal="center" vertical="center"/>
      <protection locked="0"/>
    </xf>
    <xf numFmtId="224" fontId="67" fillId="35" borderId="199" xfId="62" applyNumberFormat="1" applyFont="1" applyFill="1" applyBorder="1" applyAlignment="1" applyProtection="1">
      <alignment horizontal="center" vertical="center"/>
      <protection locked="0"/>
    </xf>
    <xf numFmtId="224" fontId="67" fillId="35" borderId="200" xfId="62" applyNumberFormat="1" applyFont="1" applyFill="1" applyBorder="1" applyAlignment="1" applyProtection="1">
      <alignment horizontal="center" vertical="center"/>
      <protection locked="0"/>
    </xf>
    <xf numFmtId="0" fontId="66" fillId="35" borderId="101" xfId="58" applyNumberFormat="1" applyFont="1" applyFill="1" applyBorder="1" applyAlignment="1" applyProtection="1">
      <alignment horizontal="center" vertical="center"/>
      <protection locked="0"/>
    </xf>
    <xf numFmtId="0" fontId="66" fillId="35" borderId="118" xfId="58" applyFont="1" applyFill="1" applyBorder="1" applyAlignment="1" applyProtection="1">
      <alignment vertical="center"/>
      <protection locked="0"/>
    </xf>
    <xf numFmtId="0" fontId="66" fillId="35" borderId="189" xfId="58" applyFont="1" applyFill="1" applyBorder="1" applyAlignment="1" applyProtection="1">
      <alignment vertical="center"/>
      <protection locked="0"/>
    </xf>
    <xf numFmtId="0" fontId="66" fillId="35" borderId="192" xfId="58" applyFont="1" applyFill="1" applyBorder="1" applyAlignment="1" applyProtection="1">
      <alignment vertical="center"/>
      <protection locked="0"/>
    </xf>
    <xf numFmtId="0" fontId="66" fillId="35" borderId="193" xfId="58" applyFont="1" applyFill="1" applyBorder="1" applyAlignment="1" applyProtection="1">
      <alignment vertical="center"/>
      <protection locked="0"/>
    </xf>
    <xf numFmtId="0" fontId="66" fillId="35" borderId="211" xfId="58" applyFont="1" applyFill="1" applyBorder="1" applyAlignment="1" applyProtection="1">
      <alignment vertical="center"/>
      <protection locked="0"/>
    </xf>
    <xf numFmtId="0" fontId="66" fillId="35" borderId="212" xfId="58" applyFont="1" applyFill="1" applyBorder="1" applyAlignment="1" applyProtection="1">
      <alignment vertical="center"/>
      <protection locked="0"/>
    </xf>
    <xf numFmtId="0" fontId="66" fillId="35" borderId="213" xfId="58" applyNumberFormat="1" applyFont="1" applyFill="1" applyBorder="1" applyAlignment="1" applyProtection="1">
      <alignment horizontal="center" vertical="center"/>
      <protection locked="0"/>
    </xf>
    <xf numFmtId="0" fontId="66" fillId="35" borderId="194" xfId="58" applyFont="1" applyFill="1" applyBorder="1" applyAlignment="1" applyProtection="1">
      <alignment vertical="center"/>
      <protection locked="0"/>
    </xf>
    <xf numFmtId="0" fontId="66" fillId="35" borderId="205" xfId="58" applyFont="1" applyFill="1" applyBorder="1" applyAlignment="1" applyProtection="1">
      <alignment vertical="center"/>
      <protection locked="0"/>
    </xf>
    <xf numFmtId="0" fontId="66" fillId="35" borderId="110" xfId="58" applyFont="1" applyFill="1" applyBorder="1" applyAlignment="1" applyProtection="1">
      <alignment vertical="center"/>
      <protection locked="0"/>
    </xf>
    <xf numFmtId="0" fontId="66" fillId="35" borderId="136" xfId="58" applyFont="1" applyFill="1" applyBorder="1" applyAlignment="1" applyProtection="1">
      <alignment vertical="center"/>
      <protection locked="0"/>
    </xf>
    <xf numFmtId="0" fontId="66" fillId="35" borderId="188" xfId="58" applyFont="1" applyFill="1" applyBorder="1" applyAlignment="1" applyProtection="1">
      <alignment vertical="center"/>
      <protection locked="0"/>
    </xf>
    <xf numFmtId="224" fontId="67" fillId="35" borderId="182" xfId="62" applyNumberFormat="1" applyFont="1" applyFill="1" applyBorder="1" applyAlignment="1" applyProtection="1">
      <alignment horizontal="center" vertical="center"/>
    </xf>
    <xf numFmtId="0" fontId="66" fillId="35" borderId="28" xfId="58" applyFont="1" applyFill="1" applyBorder="1" applyAlignment="1" applyProtection="1">
      <alignment vertical="center"/>
      <protection locked="0"/>
    </xf>
    <xf numFmtId="224" fontId="67" fillId="35" borderId="21" xfId="62" applyNumberFormat="1" applyFont="1" applyFill="1" applyBorder="1" applyAlignment="1" applyProtection="1">
      <alignment horizontal="center" vertical="center"/>
      <protection locked="0"/>
    </xf>
    <xf numFmtId="0" fontId="66" fillId="35" borderId="194" xfId="58" applyFont="1" applyFill="1" applyBorder="1" applyAlignment="1" applyProtection="1">
      <alignment horizontal="center" vertical="center"/>
      <protection locked="0"/>
    </xf>
    <xf numFmtId="259" fontId="66" fillId="35" borderId="205" xfId="58" applyNumberFormat="1" applyFont="1" applyFill="1" applyBorder="1" applyAlignment="1" applyProtection="1">
      <alignment vertical="center"/>
      <protection locked="0"/>
    </xf>
    <xf numFmtId="259" fontId="66" fillId="35" borderId="195" xfId="58" applyNumberFormat="1" applyFont="1" applyFill="1" applyBorder="1" applyAlignment="1" applyProtection="1">
      <alignment vertical="center"/>
      <protection locked="0"/>
    </xf>
    <xf numFmtId="224" fontId="67" fillId="35" borderId="197" xfId="62" applyNumberFormat="1" applyFont="1" applyFill="1" applyBorder="1" applyAlignment="1" applyProtection="1">
      <alignment horizontal="center" vertical="center"/>
      <protection locked="0"/>
    </xf>
    <xf numFmtId="191" fontId="19" fillId="26" borderId="0" xfId="58" applyNumberFormat="1" applyFont="1" applyFill="1" applyAlignment="1">
      <alignment horizontal="right" vertical="center"/>
    </xf>
    <xf numFmtId="270" fontId="19" fillId="26" borderId="0" xfId="58" applyNumberFormat="1" applyFont="1" applyFill="1" applyAlignment="1">
      <alignment horizontal="center" vertical="center"/>
    </xf>
    <xf numFmtId="0" fontId="19" fillId="26" borderId="0" xfId="58" applyFont="1" applyFill="1" applyAlignment="1">
      <alignment horizontal="center" vertical="center" wrapText="1"/>
    </xf>
    <xf numFmtId="0" fontId="26" fillId="26" borderId="0" xfId="58" applyFont="1" applyFill="1" applyAlignment="1">
      <alignment horizontal="left" vertical="center"/>
    </xf>
    <xf numFmtId="271" fontId="19" fillId="26" borderId="0" xfId="58" applyNumberFormat="1" applyFont="1" applyFill="1" applyAlignment="1">
      <alignment horizontal="center"/>
    </xf>
    <xf numFmtId="0" fontId="26" fillId="26" borderId="14" xfId="58" applyFont="1" applyFill="1" applyBorder="1" applyAlignment="1">
      <alignment horizontal="center"/>
    </xf>
    <xf numFmtId="0" fontId="26" fillId="26" borderId="34" xfId="58" applyNumberFormat="1" applyFont="1" applyFill="1" applyBorder="1" applyAlignment="1">
      <alignment horizontal="center" vertical="center"/>
    </xf>
    <xf numFmtId="245" fontId="92" fillId="35" borderId="0" xfId="41" applyNumberFormat="1" applyFont="1" applyFill="1" applyBorder="1" applyAlignment="1" applyProtection="1">
      <alignment vertical="center"/>
    </xf>
    <xf numFmtId="7" fontId="93" fillId="35" borderId="0" xfId="41" applyNumberFormat="1" applyFont="1" applyFill="1" applyBorder="1" applyAlignment="1" applyProtection="1">
      <alignment horizontal="right" vertical="center"/>
    </xf>
    <xf numFmtId="191" fontId="94" fillId="35" borderId="48" xfId="0" applyNumberFormat="1" applyFont="1" applyFill="1" applyBorder="1" applyAlignment="1" applyProtection="1">
      <alignment horizontal="center" vertical="center"/>
    </xf>
    <xf numFmtId="0" fontId="98" fillId="35" borderId="33" xfId="58" applyFont="1" applyFill="1" applyBorder="1" applyAlignment="1">
      <alignment horizontal="center" vertical="center"/>
    </xf>
    <xf numFmtId="0" fontId="26" fillId="26" borderId="0" xfId="58" quotePrefix="1" applyFont="1" applyFill="1" applyAlignment="1">
      <alignment horizontal="center"/>
    </xf>
    <xf numFmtId="0" fontId="24" fillId="26" borderId="0" xfId="58" applyFont="1" applyFill="1" applyAlignment="1">
      <alignment horizontal="center"/>
    </xf>
    <xf numFmtId="0" fontId="26" fillId="26" borderId="0" xfId="58" applyFont="1" applyFill="1" applyAlignment="1">
      <alignment horizontal="center"/>
    </xf>
    <xf numFmtId="0" fontId="96" fillId="37" borderId="0" xfId="0" applyFont="1" applyFill="1" applyProtection="1"/>
    <xf numFmtId="0" fontId="26" fillId="26" borderId="0" xfId="58" applyFont="1" applyFill="1" applyBorder="1" applyAlignment="1"/>
    <xf numFmtId="0" fontId="26" fillId="26" borderId="13" xfId="58" applyFont="1" applyFill="1" applyBorder="1" applyAlignment="1">
      <alignment horizontal="center" vertical="center"/>
    </xf>
    <xf numFmtId="0" fontId="135" fillId="36" borderId="0" xfId="58" applyFont="1" applyFill="1" applyBorder="1" applyAlignment="1" applyProtection="1">
      <alignment horizontal="left" vertical="center"/>
    </xf>
    <xf numFmtId="0" fontId="15" fillId="0" borderId="0" xfId="90" applyFont="1" applyAlignment="1">
      <alignment vertical="center"/>
    </xf>
    <xf numFmtId="0" fontId="15" fillId="0" borderId="0" xfId="90" applyFont="1"/>
    <xf numFmtId="0" fontId="14" fillId="0" borderId="0" xfId="90" applyFont="1" applyFill="1" applyBorder="1" applyAlignment="1" applyProtection="1">
      <alignment horizontal="center" vertical="center"/>
    </xf>
    <xf numFmtId="0" fontId="15" fillId="0" borderId="43" xfId="90" applyFont="1" applyFill="1" applyBorder="1" applyAlignment="1" applyProtection="1">
      <alignment vertical="center"/>
    </xf>
    <xf numFmtId="0" fontId="15" fillId="0" borderId="16" xfId="90" applyFont="1" applyFill="1" applyBorder="1" applyAlignment="1" applyProtection="1">
      <alignment vertical="center"/>
    </xf>
    <xf numFmtId="0" fontId="15" fillId="0" borderId="17" xfId="90" applyFont="1" applyFill="1" applyBorder="1" applyAlignment="1" applyProtection="1">
      <alignment vertical="center"/>
    </xf>
    <xf numFmtId="0" fontId="14" fillId="0" borderId="115" xfId="90" applyFont="1" applyFill="1" applyBorder="1" applyAlignment="1" applyProtection="1">
      <alignment vertical="center"/>
    </xf>
    <xf numFmtId="0" fontId="15" fillId="0" borderId="0" xfId="90" applyFont="1" applyFill="1" applyBorder="1" applyAlignment="1" applyProtection="1">
      <alignment vertical="center"/>
    </xf>
    <xf numFmtId="198" fontId="14" fillId="40" borderId="44" xfId="90" applyNumberFormat="1" applyFont="1" applyFill="1" applyBorder="1" applyAlignment="1" applyProtection="1">
      <alignment vertical="center"/>
    </xf>
    <xf numFmtId="0" fontId="15" fillId="0" borderId="115" xfId="90" applyFont="1" applyFill="1" applyBorder="1" applyAlignment="1" applyProtection="1">
      <alignment vertical="center"/>
    </xf>
    <xf numFmtId="0" fontId="15" fillId="0" borderId="44" xfId="90" applyFont="1" applyFill="1" applyBorder="1" applyAlignment="1" applyProtection="1">
      <alignment vertical="center"/>
    </xf>
    <xf numFmtId="0" fontId="28" fillId="0" borderId="115" xfId="90" applyFont="1" applyFill="1" applyBorder="1" applyAlignment="1" applyProtection="1">
      <alignment vertical="center"/>
    </xf>
    <xf numFmtId="198" fontId="14" fillId="0" borderId="44" xfId="90" applyNumberFormat="1" applyFont="1" applyFill="1" applyBorder="1" applyAlignment="1" applyProtection="1">
      <alignment vertical="center"/>
    </xf>
    <xf numFmtId="198" fontId="15" fillId="0" borderId="44" xfId="90" applyNumberFormat="1" applyFont="1" applyFill="1" applyBorder="1" applyAlignment="1" applyProtection="1">
      <alignment vertical="center"/>
      <protection locked="0"/>
    </xf>
    <xf numFmtId="191" fontId="15" fillId="0" borderId="44" xfId="90" applyNumberFormat="1" applyFont="1" applyFill="1" applyBorder="1" applyAlignment="1" applyProtection="1">
      <alignment vertical="center"/>
    </xf>
    <xf numFmtId="217" fontId="137" fillId="0" borderId="44" xfId="90" applyNumberFormat="1" applyFont="1" applyFill="1" applyBorder="1" applyAlignment="1" applyProtection="1">
      <alignment vertical="center"/>
    </xf>
    <xf numFmtId="217" fontId="137" fillId="0" borderId="44" xfId="58" applyNumberFormat="1" applyFont="1" applyFill="1" applyBorder="1" applyProtection="1"/>
    <xf numFmtId="0" fontId="15" fillId="0" borderId="0" xfId="58" applyFont="1" applyFill="1" applyBorder="1" applyProtection="1"/>
    <xf numFmtId="0" fontId="15" fillId="0" borderId="115" xfId="90" applyFont="1" applyFill="1" applyBorder="1" applyAlignment="1" applyProtection="1">
      <alignment horizontal="center" vertical="center"/>
    </xf>
    <xf numFmtId="0" fontId="15" fillId="0" borderId="0" xfId="90" applyFont="1" applyFill="1" applyBorder="1" applyAlignment="1" applyProtection="1">
      <alignment horizontal="center" vertical="center"/>
    </xf>
    <xf numFmtId="0" fontId="22" fillId="0" borderId="0" xfId="90" applyFont="1" applyFill="1" applyBorder="1" applyAlignment="1" applyProtection="1">
      <alignment horizontal="center" vertical="center"/>
    </xf>
    <xf numFmtId="272" fontId="28" fillId="0" borderId="44" xfId="90" applyNumberFormat="1" applyFont="1" applyFill="1" applyBorder="1" applyAlignment="1" applyProtection="1">
      <alignment vertical="center"/>
    </xf>
    <xf numFmtId="217" fontId="14" fillId="0" borderId="44" xfId="90" applyNumberFormat="1" applyFont="1" applyFill="1" applyBorder="1" applyAlignment="1" applyProtection="1">
      <alignment vertical="center"/>
    </xf>
    <xf numFmtId="0" fontId="138" fillId="0" borderId="115" xfId="90" applyFont="1" applyFill="1" applyBorder="1" applyAlignment="1" applyProtection="1">
      <alignment horizontal="left" vertical="center"/>
    </xf>
    <xf numFmtId="0" fontId="15" fillId="0" borderId="45" xfId="58" applyFont="1" applyFill="1" applyBorder="1" applyProtection="1"/>
    <xf numFmtId="0" fontId="15" fillId="0" borderId="11" xfId="58" applyFont="1" applyFill="1" applyBorder="1" applyProtection="1"/>
    <xf numFmtId="0" fontId="15" fillId="0" borderId="46" xfId="90" applyFont="1" applyBorder="1"/>
    <xf numFmtId="198" fontId="15" fillId="35" borderId="44" xfId="90" applyNumberFormat="1" applyFont="1" applyFill="1" applyBorder="1" applyAlignment="1" applyProtection="1">
      <alignment vertical="center"/>
      <protection locked="0"/>
    </xf>
    <xf numFmtId="217" fontId="15" fillId="35" borderId="44" xfId="90" applyNumberFormat="1" applyFont="1" applyFill="1" applyBorder="1" applyAlignment="1" applyProtection="1">
      <alignment vertical="center"/>
      <protection locked="0"/>
    </xf>
    <xf numFmtId="272" fontId="15" fillId="35" borderId="44" xfId="90" applyNumberFormat="1" applyFont="1" applyFill="1" applyBorder="1" applyAlignment="1" applyProtection="1">
      <alignment vertical="center"/>
      <protection locked="0"/>
    </xf>
    <xf numFmtId="268" fontId="15" fillId="35" borderId="44" xfId="90" applyNumberFormat="1" applyFont="1" applyFill="1" applyBorder="1" applyAlignment="1" applyProtection="1">
      <alignment vertical="center"/>
      <protection locked="0"/>
    </xf>
    <xf numFmtId="10" fontId="138" fillId="40" borderId="44" xfId="90" applyNumberFormat="1" applyFont="1" applyFill="1" applyBorder="1" applyAlignment="1" applyProtection="1">
      <alignment vertical="center"/>
    </xf>
    <xf numFmtId="0" fontId="18" fillId="35" borderId="0" xfId="90" applyFont="1" applyFill="1" applyAlignment="1" applyProtection="1">
      <alignment horizontal="center"/>
      <protection locked="0"/>
    </xf>
    <xf numFmtId="0" fontId="21" fillId="32" borderId="0" xfId="90" quotePrefix="1" applyFont="1" applyFill="1"/>
    <xf numFmtId="0" fontId="18" fillId="40" borderId="0" xfId="90" applyFont="1" applyFill="1" applyAlignment="1" applyProtection="1">
      <alignment horizontal="center"/>
      <protection locked="0"/>
    </xf>
    <xf numFmtId="0" fontId="18" fillId="37" borderId="0" xfId="90" applyFont="1" applyFill="1" applyAlignment="1" applyProtection="1">
      <alignment horizontal="center"/>
      <protection locked="0"/>
    </xf>
    <xf numFmtId="0" fontId="15" fillId="0" borderId="43" xfId="90" applyFont="1" applyBorder="1"/>
    <xf numFmtId="0" fontId="15" fillId="0" borderId="16" xfId="90" applyFont="1" applyBorder="1"/>
    <xf numFmtId="0" fontId="15" fillId="0" borderId="17" xfId="90" applyFont="1" applyBorder="1"/>
    <xf numFmtId="0" fontId="15" fillId="0" borderId="115" xfId="90" applyFont="1" applyBorder="1"/>
    <xf numFmtId="0" fontId="15" fillId="0" borderId="0" xfId="90" applyFont="1" applyBorder="1"/>
    <xf numFmtId="0" fontId="15" fillId="0" borderId="44" xfId="90" applyFont="1" applyBorder="1"/>
    <xf numFmtId="266" fontId="15" fillId="0" borderId="115" xfId="90" applyNumberFormat="1" applyFont="1" applyBorder="1"/>
    <xf numFmtId="1" fontId="30" fillId="47" borderId="0" xfId="90" applyNumberFormat="1" applyFont="1" applyFill="1" applyBorder="1" applyAlignment="1" applyProtection="1">
      <alignment horizontal="right" vertical="center"/>
    </xf>
    <xf numFmtId="1" fontId="30" fillId="47" borderId="44" xfId="90" applyNumberFormat="1" applyFont="1" applyFill="1" applyBorder="1" applyAlignment="1" applyProtection="1">
      <alignment horizontal="right" vertical="center"/>
    </xf>
    <xf numFmtId="267" fontId="15" fillId="0" borderId="115" xfId="90" applyNumberFormat="1" applyFont="1" applyBorder="1"/>
    <xf numFmtId="220" fontId="30" fillId="47" borderId="0" xfId="90" applyNumberFormat="1" applyFont="1" applyFill="1" applyBorder="1" applyAlignment="1" applyProtection="1">
      <alignment horizontal="right" vertical="center"/>
    </xf>
    <xf numFmtId="220" fontId="30" fillId="47" borderId="44" xfId="90" applyNumberFormat="1" applyFont="1" applyFill="1" applyBorder="1" applyAlignment="1" applyProtection="1">
      <alignment horizontal="right" vertical="center"/>
    </xf>
    <xf numFmtId="44" fontId="15" fillId="0" borderId="0" xfId="90" applyNumberFormat="1" applyFont="1" applyBorder="1"/>
    <xf numFmtId="191" fontId="15" fillId="37" borderId="0" xfId="90" applyNumberFormat="1" applyFont="1" applyFill="1" applyBorder="1" applyAlignment="1" applyProtection="1">
      <alignment vertical="center"/>
      <protection locked="0"/>
    </xf>
    <xf numFmtId="10" fontId="15" fillId="40" borderId="0" xfId="41" applyNumberFormat="1" applyFont="1" applyFill="1" applyBorder="1"/>
    <xf numFmtId="0" fontId="15" fillId="0" borderId="45" xfId="90" applyFont="1" applyBorder="1"/>
    <xf numFmtId="0" fontId="15" fillId="0" borderId="11" xfId="90" applyFont="1" applyBorder="1"/>
    <xf numFmtId="0" fontId="96" fillId="0" borderId="0" xfId="90" applyFont="1"/>
    <xf numFmtId="0" fontId="96" fillId="47" borderId="33" xfId="0" applyFont="1" applyFill="1" applyBorder="1" applyAlignment="1" applyProtection="1">
      <alignment horizontal="center"/>
      <protection locked="0"/>
    </xf>
    <xf numFmtId="0" fontId="139" fillId="26" borderId="39" xfId="0" applyFont="1" applyFill="1" applyBorder="1" applyAlignment="1">
      <alignment horizontal="left"/>
    </xf>
    <xf numFmtId="1" fontId="139" fillId="26" borderId="40" xfId="0" applyNumberFormat="1" applyFont="1" applyFill="1" applyBorder="1" applyAlignment="1">
      <alignment horizontal="left"/>
    </xf>
    <xf numFmtId="0" fontId="26" fillId="26" borderId="0" xfId="58" quotePrefix="1" applyFont="1" applyFill="1" applyAlignment="1">
      <alignment horizontal="center"/>
    </xf>
    <xf numFmtId="14" fontId="67" fillId="34" borderId="121" xfId="58" applyNumberFormat="1" applyFont="1" applyFill="1" applyBorder="1" applyAlignment="1" applyProtection="1">
      <alignment horizontal="center" vertical="center"/>
      <protection locked="0"/>
    </xf>
    <xf numFmtId="0" fontId="67" fillId="34" borderId="121" xfId="58" applyFont="1" applyFill="1" applyBorder="1" applyAlignment="1" applyProtection="1">
      <alignment horizontal="center" vertical="center"/>
      <protection locked="0"/>
    </xf>
    <xf numFmtId="0" fontId="67" fillId="34" borderId="122" xfId="58" applyFont="1" applyFill="1" applyBorder="1" applyAlignment="1" applyProtection="1">
      <alignment horizontal="center" vertical="center"/>
      <protection locked="0"/>
    </xf>
    <xf numFmtId="14" fontId="67" fillId="34" borderId="177" xfId="62" applyNumberFormat="1" applyFont="1" applyFill="1" applyBorder="1" applyAlignment="1" applyProtection="1">
      <alignment horizontal="center" vertical="center"/>
    </xf>
    <xf numFmtId="14" fontId="67" fillId="34" borderId="181" xfId="62" applyNumberFormat="1" applyFont="1" applyFill="1" applyBorder="1" applyAlignment="1" applyProtection="1">
      <alignment horizontal="center" vertical="center"/>
    </xf>
    <xf numFmtId="14" fontId="67" fillId="34" borderId="133" xfId="62" applyNumberFormat="1" applyFont="1" applyFill="1" applyBorder="1" applyAlignment="1" applyProtection="1">
      <alignment horizontal="center" vertical="center"/>
    </xf>
    <xf numFmtId="0" fontId="142" fillId="47" borderId="13" xfId="0" applyFont="1" applyFill="1" applyBorder="1" applyAlignment="1" applyProtection="1">
      <alignment horizontal="center" vertical="center"/>
      <protection locked="0"/>
    </xf>
    <xf numFmtId="250" fontId="107" fillId="37" borderId="29" xfId="63" applyNumberFormat="1" applyFont="1" applyFill="1" applyBorder="1" applyAlignment="1">
      <alignment vertical="center"/>
    </xf>
    <xf numFmtId="250" fontId="107" fillId="37" borderId="29" xfId="63" applyNumberFormat="1" applyFont="1" applyFill="1" applyBorder="1" applyAlignment="1">
      <alignment horizontal="right" vertical="center"/>
    </xf>
    <xf numFmtId="0" fontId="143" fillId="0" borderId="0" xfId="90" applyFont="1"/>
    <xf numFmtId="1" fontId="15" fillId="0" borderId="0" xfId="90" applyNumberFormat="1" applyFont="1" applyBorder="1"/>
    <xf numFmtId="14" fontId="144" fillId="26" borderId="37" xfId="0" applyNumberFormat="1" applyFont="1" applyFill="1" applyBorder="1" applyAlignment="1">
      <alignment horizontal="left"/>
    </xf>
    <xf numFmtId="173" fontId="26" fillId="26" borderId="14" xfId="58" applyNumberFormat="1" applyFont="1" applyFill="1" applyBorder="1" applyAlignment="1">
      <alignment horizontal="center" vertical="center" wrapText="1"/>
    </xf>
    <xf numFmtId="177" fontId="15" fillId="0" borderId="0" xfId="90" applyNumberFormat="1" applyFont="1" applyAlignment="1">
      <alignment horizontal="center" vertical="center"/>
    </xf>
    <xf numFmtId="0" fontId="26" fillId="26" borderId="0" xfId="58" quotePrefix="1" applyFont="1" applyFill="1" applyAlignment="1">
      <alignment horizontal="center"/>
    </xf>
    <xf numFmtId="0" fontId="26" fillId="26" borderId="0" xfId="58" applyFont="1" applyFill="1" applyAlignment="1">
      <alignment horizontal="center"/>
    </xf>
    <xf numFmtId="0" fontId="129" fillId="26" borderId="0" xfId="58" applyFont="1" applyFill="1" applyAlignment="1">
      <alignment horizontal="center"/>
    </xf>
    <xf numFmtId="0" fontId="15" fillId="26" borderId="11" xfId="58" applyFont="1" applyFill="1" applyBorder="1"/>
    <xf numFmtId="271" fontId="20" fillId="26" borderId="0" xfId="58" applyNumberFormat="1" applyFont="1" applyFill="1" applyAlignment="1">
      <alignment horizontal="left"/>
    </xf>
    <xf numFmtId="0" fontId="33" fillId="26" borderId="0" xfId="58" quotePrefix="1" applyFont="1" applyFill="1"/>
    <xf numFmtId="49" fontId="26" fillId="26" borderId="14" xfId="58" applyNumberFormat="1" applyFont="1" applyFill="1" applyBorder="1" applyAlignment="1">
      <alignment horizontal="center"/>
    </xf>
    <xf numFmtId="273" fontId="85" fillId="35" borderId="13" xfId="0" applyNumberFormat="1" applyFont="1" applyFill="1" applyBorder="1" applyAlignment="1">
      <alignment horizontal="center" vertical="center"/>
    </xf>
    <xf numFmtId="0" fontId="32" fillId="0" borderId="0" xfId="0" applyFont="1" applyAlignment="1">
      <alignment horizontal="left" vertical="center"/>
    </xf>
    <xf numFmtId="0" fontId="15" fillId="26" borderId="0" xfId="90" applyFont="1" applyFill="1" applyAlignment="1">
      <alignment horizontal="left" vertical="top" wrapText="1"/>
    </xf>
    <xf numFmtId="0" fontId="15" fillId="26" borderId="0" xfId="90" applyFill="1"/>
    <xf numFmtId="0" fontId="15" fillId="26" borderId="0" xfId="90" applyFont="1" applyFill="1" applyAlignment="1">
      <alignment horizontal="center" vertical="center"/>
    </xf>
    <xf numFmtId="0" fontId="15" fillId="37" borderId="0" xfId="90" applyFill="1" applyAlignment="1">
      <alignment horizontal="center"/>
    </xf>
    <xf numFmtId="0" fontId="15" fillId="26" borderId="0" xfId="90" applyFill="1" applyAlignment="1">
      <alignment horizontal="center"/>
    </xf>
    <xf numFmtId="0" fontId="38" fillId="0" borderId="0" xfId="90" applyFont="1"/>
    <xf numFmtId="0" fontId="26" fillId="26" borderId="0" xfId="90" applyFont="1" applyFill="1"/>
    <xf numFmtId="0" fontId="29" fillId="26" borderId="0" xfId="90" applyFont="1" applyFill="1" applyAlignment="1">
      <alignment horizontal="left"/>
    </xf>
    <xf numFmtId="0" fontId="29" fillId="26" borderId="0" xfId="90" applyFont="1" applyFill="1"/>
    <xf numFmtId="0" fontId="29" fillId="26" borderId="0" xfId="90" quotePrefix="1" applyFont="1" applyFill="1" applyAlignment="1">
      <alignment horizontal="left"/>
    </xf>
    <xf numFmtId="0" fontId="14" fillId="26" borderId="0" xfId="90" applyFont="1" applyFill="1"/>
    <xf numFmtId="0" fontId="21" fillId="26" borderId="0" xfId="90" applyFont="1" applyFill="1"/>
    <xf numFmtId="0" fontId="21" fillId="0" borderId="0" xfId="90" applyFont="1"/>
    <xf numFmtId="0" fontId="21" fillId="26" borderId="0" xfId="90" applyFont="1" applyFill="1" applyAlignment="1">
      <alignment vertical="center"/>
    </xf>
    <xf numFmtId="0" fontId="39" fillId="26" borderId="0" xfId="90" applyFont="1" applyFill="1"/>
    <xf numFmtId="0" fontId="15" fillId="26" borderId="0" xfId="90" applyFont="1" applyFill="1" applyAlignment="1"/>
    <xf numFmtId="0" fontId="15" fillId="26" borderId="0" xfId="90" applyFill="1" applyAlignment="1"/>
    <xf numFmtId="180" fontId="15" fillId="26" borderId="0" xfId="90" applyNumberFormat="1" applyFill="1" applyAlignment="1"/>
    <xf numFmtId="0" fontId="14" fillId="26" borderId="0" xfId="90" applyFont="1" applyFill="1" applyAlignment="1"/>
    <xf numFmtId="0" fontId="28" fillId="26" borderId="0" xfId="90" applyFont="1" applyFill="1"/>
    <xf numFmtId="0" fontId="15" fillId="26" borderId="0" xfId="90" applyFont="1" applyFill="1"/>
    <xf numFmtId="0" fontId="14" fillId="26" borderId="0" xfId="90" applyFont="1" applyFill="1" applyAlignment="1">
      <alignment horizontal="center"/>
    </xf>
    <xf numFmtId="0" fontId="15" fillId="26" borderId="0" xfId="90" applyFont="1" applyFill="1" applyAlignment="1">
      <alignment horizontal="left"/>
    </xf>
    <xf numFmtId="0" fontId="19" fillId="26" borderId="0" xfId="90" applyFont="1" applyFill="1" applyAlignment="1">
      <alignment horizontal="center"/>
    </xf>
    <xf numFmtId="0" fontId="15" fillId="26" borderId="0" xfId="90" quotePrefix="1" applyFont="1" applyFill="1"/>
    <xf numFmtId="0" fontId="14" fillId="26" borderId="0" xfId="90" applyFont="1" applyFill="1" applyBorder="1" applyAlignment="1">
      <alignment horizontal="center"/>
    </xf>
    <xf numFmtId="0" fontId="15" fillId="26" borderId="0" xfId="90" applyFont="1" applyFill="1" applyBorder="1" applyAlignment="1">
      <alignment horizontal="left"/>
    </xf>
    <xf numFmtId="0" fontId="15" fillId="26" borderId="40" xfId="90" applyFont="1" applyFill="1" applyBorder="1" applyAlignment="1">
      <alignment horizontal="left" vertical="center"/>
    </xf>
    <xf numFmtId="0" fontId="14" fillId="26" borderId="0" xfId="90" applyFont="1" applyFill="1" applyBorder="1" applyAlignment="1">
      <alignment horizontal="center" vertical="center" wrapText="1"/>
    </xf>
    <xf numFmtId="179" fontId="14" fillId="26" borderId="0" xfId="90" applyNumberFormat="1" applyFont="1" applyFill="1" applyBorder="1" applyAlignment="1">
      <alignment horizontal="center" vertical="center"/>
    </xf>
    <xf numFmtId="179" fontId="14" fillId="26" borderId="40" xfId="90" applyNumberFormat="1" applyFont="1" applyFill="1" applyBorder="1" applyAlignment="1">
      <alignment horizontal="center" vertical="center"/>
    </xf>
    <xf numFmtId="0" fontId="14" fillId="32" borderId="36" xfId="90" applyFont="1" applyFill="1" applyBorder="1" applyAlignment="1">
      <alignment horizontal="center" vertical="center" wrapText="1"/>
    </xf>
    <xf numFmtId="179" fontId="14" fillId="26" borderId="36" xfId="90" applyNumberFormat="1" applyFont="1" applyFill="1" applyBorder="1" applyAlignment="1">
      <alignment horizontal="center" vertical="center"/>
    </xf>
    <xf numFmtId="0" fontId="15" fillId="26" borderId="0" xfId="90" applyFont="1" applyFill="1" applyBorder="1" applyAlignment="1">
      <alignment horizontal="left" vertical="center"/>
    </xf>
    <xf numFmtId="0" fontId="15" fillId="26" borderId="0" xfId="90" applyFont="1" applyFill="1" applyBorder="1"/>
    <xf numFmtId="0" fontId="15" fillId="26" borderId="0" xfId="90" applyFill="1" applyBorder="1"/>
    <xf numFmtId="0" fontId="19" fillId="26" borderId="0" xfId="90" applyFont="1" applyFill="1" applyBorder="1" applyAlignment="1">
      <alignment horizontal="right"/>
    </xf>
    <xf numFmtId="217" fontId="147" fillId="32" borderId="0" xfId="99" applyNumberFormat="1" applyFont="1" applyFill="1"/>
    <xf numFmtId="0" fontId="147" fillId="32" borderId="0" xfId="99" applyFont="1" applyFill="1"/>
    <xf numFmtId="173" fontId="26" fillId="26" borderId="16" xfId="58" applyNumberFormat="1" applyFont="1" applyFill="1" applyBorder="1" applyAlignment="1">
      <alignment horizontal="center" vertical="center" wrapText="1"/>
    </xf>
    <xf numFmtId="15" fontId="80" fillId="26" borderId="0" xfId="58" applyNumberFormat="1" applyFont="1" applyFill="1"/>
    <xf numFmtId="0" fontId="82" fillId="26" borderId="0" xfId="58" applyFont="1" applyFill="1" applyAlignment="1">
      <alignment horizontal="right"/>
    </xf>
    <xf numFmtId="0" fontId="82" fillId="26" borderId="0" xfId="58" applyFont="1" applyFill="1"/>
    <xf numFmtId="184" fontId="82" fillId="26" borderId="0" xfId="32" applyFont="1" applyFill="1" applyAlignment="1">
      <alignment horizontal="right"/>
    </xf>
    <xf numFmtId="0" fontId="80" fillId="26" borderId="0" xfId="58" applyFont="1" applyFill="1"/>
    <xf numFmtId="10" fontId="98" fillId="35" borderId="33" xfId="58" applyNumberFormat="1" applyFont="1" applyFill="1" applyBorder="1" applyAlignment="1">
      <alignment horizontal="center" vertical="center"/>
    </xf>
    <xf numFmtId="0" fontId="14" fillId="26" borderId="37" xfId="0" applyFont="1" applyFill="1" applyBorder="1"/>
    <xf numFmtId="0" fontId="0" fillId="26" borderId="0" xfId="0" applyFill="1" applyBorder="1" applyAlignment="1">
      <alignment horizontal="center"/>
    </xf>
    <xf numFmtId="0" fontId="26" fillId="26" borderId="0" xfId="58" applyFont="1" applyFill="1" applyAlignment="1">
      <alignment horizontal="center"/>
    </xf>
    <xf numFmtId="217" fontId="70" fillId="26" borderId="0" xfId="32" applyNumberFormat="1" applyFont="1" applyFill="1" applyAlignment="1">
      <alignment horizontal="right" vertical="center"/>
    </xf>
    <xf numFmtId="217" fontId="80" fillId="26" borderId="0" xfId="32" applyNumberFormat="1" applyFont="1" applyFill="1" applyAlignment="1">
      <alignment vertical="center"/>
    </xf>
    <xf numFmtId="273" fontId="19" fillId="26" borderId="13" xfId="0" applyNumberFormat="1" applyFont="1" applyFill="1" applyBorder="1" applyAlignment="1">
      <alignment horizontal="center" vertical="center"/>
    </xf>
    <xf numFmtId="0" fontId="26" fillId="26" borderId="0" xfId="58" quotePrefix="1" applyFont="1" applyFill="1" applyAlignment="1">
      <alignment horizontal="center"/>
    </xf>
    <xf numFmtId="0" fontId="26" fillId="26" borderId="0" xfId="58" applyFont="1" applyFill="1" applyAlignment="1">
      <alignment horizontal="center"/>
    </xf>
    <xf numFmtId="0" fontId="13" fillId="26" borderId="0" xfId="58" applyFont="1" applyFill="1" applyAlignment="1">
      <alignment horizontal="center" vertical="center"/>
    </xf>
    <xf numFmtId="0" fontId="15" fillId="0" borderId="0" xfId="0" applyFont="1" applyProtection="1">
      <protection locked="0"/>
    </xf>
    <xf numFmtId="0" fontId="15" fillId="0" borderId="0" xfId="0" applyFont="1" applyFill="1" applyBorder="1" applyProtection="1">
      <protection locked="0"/>
    </xf>
    <xf numFmtId="14" fontId="60" fillId="0" borderId="0" xfId="0" applyNumberFormat="1" applyFont="1" applyProtection="1">
      <protection locked="0"/>
    </xf>
    <xf numFmtId="0" fontId="60" fillId="27" borderId="33" xfId="0" applyFont="1" applyFill="1" applyBorder="1" applyAlignment="1" applyProtection="1">
      <alignment horizontal="center"/>
      <protection locked="0"/>
    </xf>
    <xf numFmtId="0" fontId="17" fillId="27" borderId="33" xfId="0" applyFont="1" applyFill="1" applyBorder="1" applyAlignment="1" applyProtection="1">
      <alignment horizontal="center"/>
      <protection locked="0"/>
    </xf>
    <xf numFmtId="0" fontId="17" fillId="27" borderId="64" xfId="0" applyFont="1" applyFill="1" applyBorder="1" applyAlignment="1" applyProtection="1">
      <alignment horizontal="center"/>
      <protection locked="0"/>
    </xf>
    <xf numFmtId="0" fontId="0" fillId="0" borderId="0" xfId="0" applyProtection="1">
      <protection locked="0"/>
    </xf>
    <xf numFmtId="0" fontId="16" fillId="0" borderId="0" xfId="0" applyFont="1" applyProtection="1">
      <protection locked="0"/>
    </xf>
    <xf numFmtId="0" fontId="96" fillId="32" borderId="36" xfId="0" applyFont="1" applyFill="1" applyBorder="1" applyProtection="1"/>
    <xf numFmtId="0" fontId="139" fillId="26" borderId="40" xfId="0" applyFont="1" applyFill="1" applyBorder="1"/>
    <xf numFmtId="10" fontId="139" fillId="26" borderId="40" xfId="41" applyNumberFormat="1" applyFont="1" applyFill="1" applyBorder="1"/>
    <xf numFmtId="0" fontId="36" fillId="27" borderId="37" xfId="0" applyFont="1" applyFill="1" applyBorder="1" applyAlignment="1">
      <alignment vertical="center"/>
    </xf>
    <xf numFmtId="0" fontId="36" fillId="27" borderId="38" xfId="0" applyFont="1" applyFill="1" applyBorder="1" applyAlignment="1">
      <alignment vertical="center"/>
    </xf>
    <xf numFmtId="0" fontId="36" fillId="27" borderId="39" xfId="0" applyFont="1" applyFill="1" applyBorder="1" applyAlignment="1">
      <alignment vertical="center"/>
    </xf>
    <xf numFmtId="0" fontId="36" fillId="27" borderId="40" xfId="0" applyFont="1" applyFill="1" applyBorder="1" applyAlignment="1">
      <alignment vertical="center"/>
    </xf>
    <xf numFmtId="0" fontId="36" fillId="27" borderId="41" xfId="0" applyFont="1" applyFill="1" applyBorder="1" applyAlignment="1">
      <alignment vertical="center"/>
    </xf>
    <xf numFmtId="0" fontId="15" fillId="27" borderId="37" xfId="0" applyFont="1" applyFill="1" applyBorder="1" applyAlignment="1">
      <alignment horizontal="center" vertical="center"/>
    </xf>
    <xf numFmtId="0" fontId="15" fillId="27" borderId="0" xfId="0" applyFont="1" applyFill="1" applyBorder="1" applyAlignment="1">
      <alignment horizontal="center" vertical="center"/>
    </xf>
    <xf numFmtId="0" fontId="15" fillId="27" borderId="38" xfId="0" applyFont="1" applyFill="1" applyBorder="1" applyAlignment="1">
      <alignment horizontal="center" vertical="center"/>
    </xf>
    <xf numFmtId="14" fontId="15" fillId="27" borderId="0" xfId="0" applyNumberFormat="1" applyFont="1" applyFill="1" applyBorder="1" applyAlignment="1">
      <alignment horizontal="center" vertical="center"/>
    </xf>
    <xf numFmtId="0" fontId="26" fillId="26" borderId="0" xfId="58" quotePrefix="1" applyFont="1" applyFill="1" applyAlignment="1">
      <alignment horizontal="center"/>
    </xf>
    <xf numFmtId="0" fontId="26" fillId="26" borderId="0" xfId="58" applyFont="1" applyFill="1" applyBorder="1" applyAlignment="1">
      <alignment horizontal="center" vertical="top" wrapText="1"/>
    </xf>
    <xf numFmtId="0" fontId="37" fillId="26" borderId="0" xfId="58" applyFont="1" applyFill="1" applyBorder="1" applyAlignment="1">
      <alignment horizontal="center" vertical="top"/>
    </xf>
    <xf numFmtId="0" fontId="26" fillId="26" borderId="0" xfId="58" applyFont="1" applyFill="1" applyAlignment="1">
      <alignment horizontal="center"/>
    </xf>
    <xf numFmtId="2" fontId="67" fillId="32" borderId="132" xfId="58" applyNumberFormat="1" applyFont="1" applyFill="1" applyBorder="1" applyAlignment="1">
      <alignment horizontal="center" vertical="center"/>
    </xf>
    <xf numFmtId="4" fontId="66" fillId="26" borderId="122" xfId="58" applyNumberFormat="1" applyFont="1" applyFill="1" applyBorder="1" applyAlignment="1">
      <alignment horizontal="center" vertical="center"/>
    </xf>
    <xf numFmtId="4" fontId="67" fillId="35" borderId="190" xfId="58" applyNumberFormat="1" applyFont="1" applyFill="1" applyBorder="1" applyAlignment="1" applyProtection="1">
      <alignment horizontal="center" vertical="center"/>
      <protection locked="0"/>
    </xf>
    <xf numFmtId="4" fontId="67" fillId="35" borderId="196" xfId="58" applyNumberFormat="1" applyFont="1" applyFill="1" applyBorder="1" applyAlignment="1" applyProtection="1">
      <alignment horizontal="center" vertical="center"/>
      <protection locked="0"/>
    </xf>
    <xf numFmtId="4" fontId="66" fillId="32" borderId="177" xfId="58" applyNumberFormat="1" applyFont="1" applyFill="1" applyBorder="1" applyAlignment="1" applyProtection="1">
      <alignment horizontal="center" vertical="center"/>
    </xf>
    <xf numFmtId="2" fontId="67" fillId="35" borderId="190" xfId="58" applyNumberFormat="1" applyFont="1" applyFill="1" applyBorder="1" applyAlignment="1" applyProtection="1">
      <alignment horizontal="center" vertical="center"/>
    </xf>
    <xf numFmtId="2" fontId="67" fillId="35" borderId="196" xfId="58" applyNumberFormat="1" applyFont="1" applyFill="1" applyBorder="1" applyAlignment="1" applyProtection="1">
      <alignment horizontal="center" vertical="center"/>
    </xf>
    <xf numFmtId="2" fontId="66" fillId="32" borderId="203" xfId="62" applyNumberFormat="1" applyFont="1" applyFill="1" applyBorder="1" applyAlignment="1">
      <alignment horizontal="center" vertical="center"/>
    </xf>
    <xf numFmtId="275" fontId="67" fillId="32" borderId="131" xfId="58" applyNumberFormat="1" applyFont="1" applyFill="1" applyBorder="1" applyAlignment="1">
      <alignment horizontal="center" vertical="center"/>
    </xf>
    <xf numFmtId="275" fontId="67" fillId="32" borderId="171" xfId="58" applyNumberFormat="1" applyFont="1" applyFill="1" applyBorder="1" applyAlignment="1">
      <alignment horizontal="center" vertical="center"/>
    </xf>
    <xf numFmtId="275" fontId="67" fillId="37" borderId="124" xfId="58" applyNumberFormat="1" applyFont="1" applyFill="1" applyBorder="1" applyAlignment="1">
      <alignment horizontal="center" vertical="center"/>
    </xf>
    <xf numFmtId="275" fontId="111" fillId="0" borderId="182" xfId="58" applyNumberFormat="1" applyFont="1" applyFill="1" applyBorder="1" applyAlignment="1">
      <alignment vertical="center"/>
    </xf>
    <xf numFmtId="275" fontId="111" fillId="0" borderId="121" xfId="58" applyNumberFormat="1" applyFont="1" applyFill="1" applyBorder="1" applyAlignment="1">
      <alignment vertical="center"/>
    </xf>
    <xf numFmtId="2" fontId="67" fillId="26" borderId="18" xfId="58" applyNumberFormat="1" applyFont="1" applyFill="1" applyBorder="1" applyAlignment="1" applyProtection="1">
      <alignment horizontal="center" vertical="center"/>
    </xf>
    <xf numFmtId="2" fontId="67" fillId="26" borderId="132" xfId="58" applyNumberFormat="1" applyFont="1" applyFill="1" applyBorder="1" applyAlignment="1" applyProtection="1">
      <alignment horizontal="center" vertical="center"/>
    </xf>
    <xf numFmtId="2" fontId="67" fillId="26" borderId="177" xfId="58" applyNumberFormat="1" applyFont="1" applyFill="1" applyBorder="1" applyAlignment="1" applyProtection="1">
      <alignment horizontal="center" vertical="center"/>
    </xf>
    <xf numFmtId="2" fontId="67" fillId="26" borderId="179" xfId="58" applyNumberFormat="1" applyFont="1" applyFill="1" applyBorder="1" applyAlignment="1" applyProtection="1">
      <alignment horizontal="center" vertical="center"/>
    </xf>
    <xf numFmtId="2" fontId="67" fillId="26" borderId="207" xfId="58" applyNumberFormat="1" applyFont="1" applyFill="1" applyBorder="1" applyAlignment="1" applyProtection="1">
      <alignment horizontal="center" vertical="center"/>
    </xf>
    <xf numFmtId="2" fontId="66" fillId="26" borderId="204" xfId="62" applyNumberFormat="1" applyFont="1" applyFill="1" applyBorder="1" applyAlignment="1" applyProtection="1">
      <alignment horizontal="center"/>
    </xf>
    <xf numFmtId="2" fontId="67" fillId="26" borderId="181" xfId="58" applyNumberFormat="1" applyFont="1" applyFill="1" applyBorder="1" applyAlignment="1" applyProtection="1">
      <alignment horizontal="center" vertical="center"/>
    </xf>
    <xf numFmtId="2" fontId="66" fillId="26" borderId="204" xfId="62" applyNumberFormat="1" applyFont="1" applyFill="1" applyBorder="1" applyAlignment="1" applyProtection="1">
      <alignment horizontal="center" vertical="center"/>
    </xf>
    <xf numFmtId="1" fontId="66" fillId="35" borderId="187" xfId="58" applyNumberFormat="1" applyFont="1" applyFill="1" applyBorder="1" applyAlignment="1">
      <alignment horizontal="center" vertical="center"/>
    </xf>
    <xf numFmtId="0" fontId="26" fillId="26" borderId="0" xfId="58" quotePrefix="1" applyFont="1" applyFill="1" applyAlignment="1">
      <alignment horizontal="center"/>
    </xf>
    <xf numFmtId="0" fontId="24" fillId="26" borderId="0" xfId="58" applyFont="1" applyFill="1" applyAlignment="1">
      <alignment horizontal="center" vertical="center"/>
    </xf>
    <xf numFmtId="0" fontId="26" fillId="26" borderId="0" xfId="58" applyFont="1" applyFill="1" applyAlignment="1">
      <alignment horizontal="center"/>
    </xf>
    <xf numFmtId="0" fontId="66" fillId="0" borderId="63" xfId="58" applyFont="1" applyBorder="1" applyAlignment="1" applyProtection="1">
      <alignment horizontal="center" vertical="center" wrapText="1"/>
    </xf>
    <xf numFmtId="0" fontId="66" fillId="0" borderId="64" xfId="58" applyFont="1" applyBorder="1" applyAlignment="1" applyProtection="1">
      <alignment horizontal="center" vertical="center" wrapText="1"/>
    </xf>
    <xf numFmtId="0" fontId="66" fillId="0" borderId="59" xfId="58" applyFont="1" applyBorder="1" applyAlignment="1" applyProtection="1">
      <alignment horizontal="center" vertical="center"/>
    </xf>
    <xf numFmtId="0" fontId="107" fillId="26" borderId="0" xfId="58" applyFont="1" applyFill="1" applyBorder="1" applyAlignment="1">
      <alignment horizontal="right"/>
    </xf>
    <xf numFmtId="8" fontId="107" fillId="32" borderId="29" xfId="63" applyNumberFormat="1" applyFont="1" applyFill="1" applyBorder="1" applyAlignment="1">
      <alignment vertical="center"/>
    </xf>
    <xf numFmtId="250" fontId="107" fillId="32" borderId="32" xfId="63" applyNumberFormat="1" applyFont="1" applyFill="1" applyBorder="1" applyAlignment="1">
      <alignment vertical="center"/>
    </xf>
    <xf numFmtId="0" fontId="151" fillId="26" borderId="76" xfId="0" applyFont="1" applyFill="1" applyBorder="1" applyAlignment="1" applyProtection="1">
      <alignment horizontal="center" vertical="center" wrapText="1"/>
    </xf>
    <xf numFmtId="0" fontId="125" fillId="26" borderId="76" xfId="0" applyFont="1" applyFill="1" applyBorder="1" applyAlignment="1" applyProtection="1">
      <alignment horizontal="center" vertical="center" shrinkToFit="1"/>
    </xf>
    <xf numFmtId="14" fontId="152" fillId="35" borderId="76" xfId="0" applyNumberFormat="1" applyFont="1" applyFill="1" applyBorder="1" applyAlignment="1" applyProtection="1">
      <alignment horizontal="center" vertical="center"/>
    </xf>
    <xf numFmtId="0" fontId="153" fillId="26" borderId="76" xfId="0" applyFont="1" applyFill="1" applyBorder="1" applyAlignment="1" applyProtection="1">
      <alignment horizontal="center" vertical="center"/>
    </xf>
    <xf numFmtId="0" fontId="154" fillId="32" borderId="79" xfId="0" applyFont="1" applyFill="1" applyBorder="1" applyAlignment="1" applyProtection="1">
      <alignment vertical="center"/>
    </xf>
    <xf numFmtId="0" fontId="154" fillId="26" borderId="17" xfId="0" applyFont="1" applyFill="1" applyBorder="1" applyAlignment="1" applyProtection="1">
      <alignment horizontal="center" vertical="center"/>
    </xf>
    <xf numFmtId="0" fontId="152" fillId="35" borderId="0" xfId="0" applyFont="1" applyFill="1" applyAlignment="1" applyProtection="1">
      <alignment horizontal="center"/>
      <protection locked="0"/>
    </xf>
    <xf numFmtId="0" fontId="124" fillId="32" borderId="0" xfId="0" quotePrefix="1" applyFont="1" applyFill="1" applyAlignment="1">
      <alignment vertical="center"/>
    </xf>
    <xf numFmtId="0" fontId="96" fillId="26" borderId="0" xfId="0" applyFont="1" applyFill="1" applyAlignment="1" applyProtection="1">
      <alignment vertical="center"/>
    </xf>
    <xf numFmtId="0" fontId="152" fillId="26" borderId="0" xfId="0" applyFont="1" applyFill="1" applyBorder="1" applyAlignment="1" applyProtection="1">
      <alignment vertical="center"/>
    </xf>
    <xf numFmtId="0" fontId="152" fillId="26" borderId="0" xfId="0" applyFont="1" applyFill="1" applyBorder="1" applyAlignment="1" applyProtection="1">
      <alignment horizontal="center" vertical="center"/>
    </xf>
    <xf numFmtId="0" fontId="152" fillId="0" borderId="0" xfId="0" applyFont="1" applyFill="1" applyBorder="1" applyAlignment="1" applyProtection="1">
      <alignment horizontal="center" vertical="center"/>
    </xf>
    <xf numFmtId="0" fontId="152" fillId="0" borderId="0" xfId="0" applyFont="1" applyFill="1" applyBorder="1" applyAlignment="1" applyProtection="1">
      <alignment vertical="center"/>
    </xf>
    <xf numFmtId="0" fontId="150" fillId="26" borderId="115" xfId="0" applyFont="1" applyFill="1" applyBorder="1" applyAlignment="1" applyProtection="1">
      <alignment horizontal="left" vertical="center"/>
    </xf>
    <xf numFmtId="196" fontId="156" fillId="26" borderId="53" xfId="0" applyNumberFormat="1" applyFont="1" applyFill="1" applyBorder="1" applyAlignment="1" applyProtection="1">
      <alignment horizontal="center" vertical="center"/>
    </xf>
    <xf numFmtId="196" fontId="156" fillId="26" borderId="59" xfId="0" applyNumberFormat="1" applyFont="1" applyFill="1" applyBorder="1" applyAlignment="1" applyProtection="1">
      <alignment horizontal="center" vertical="center"/>
    </xf>
    <xf numFmtId="0" fontId="150" fillId="26" borderId="37" xfId="0" applyFont="1" applyFill="1" applyBorder="1" applyAlignment="1" applyProtection="1">
      <alignment vertical="center"/>
    </xf>
    <xf numFmtId="14" fontId="150" fillId="37" borderId="0" xfId="0" applyNumberFormat="1" applyFont="1" applyFill="1" applyBorder="1" applyAlignment="1" applyProtection="1">
      <alignment horizontal="centerContinuous" vertical="center"/>
      <protection locked="0"/>
    </xf>
    <xf numFmtId="0" fontId="152" fillId="37" borderId="0" xfId="0" applyFont="1" applyFill="1" applyBorder="1" applyAlignment="1" applyProtection="1">
      <alignment horizontal="centerContinuous" vertical="center"/>
    </xf>
    <xf numFmtId="0" fontId="157" fillId="26" borderId="23" xfId="0" applyFont="1" applyFill="1" applyBorder="1" applyAlignment="1" applyProtection="1">
      <alignment vertical="center"/>
    </xf>
    <xf numFmtId="0" fontId="152" fillId="40" borderId="0" xfId="0" applyFont="1" applyFill="1" applyAlignment="1" applyProtection="1">
      <alignment horizontal="center"/>
      <protection locked="0"/>
    </xf>
    <xf numFmtId="1" fontId="96" fillId="26" borderId="0" xfId="0" applyNumberFormat="1" applyFont="1" applyFill="1" applyAlignment="1" applyProtection="1">
      <alignment vertical="center"/>
    </xf>
    <xf numFmtId="0" fontId="150" fillId="26" borderId="109" xfId="0" applyFont="1" applyFill="1" applyBorder="1" applyAlignment="1" applyProtection="1">
      <alignment horizontal="left" vertical="center"/>
    </xf>
    <xf numFmtId="0" fontId="150" fillId="26" borderId="40" xfId="0" applyFont="1" applyFill="1" applyBorder="1" applyAlignment="1" applyProtection="1">
      <alignment vertical="center"/>
    </xf>
    <xf numFmtId="196" fontId="156" fillId="26" borderId="33" xfId="0" applyNumberFormat="1" applyFont="1" applyFill="1" applyBorder="1" applyAlignment="1" applyProtection="1">
      <alignment horizontal="center" vertical="center" shrinkToFit="1"/>
    </xf>
    <xf numFmtId="14" fontId="158" fillId="26" borderId="41" xfId="0" applyNumberFormat="1" applyFont="1" applyFill="1" applyBorder="1" applyAlignment="1" applyProtection="1">
      <alignment horizontal="center" vertical="center"/>
    </xf>
    <xf numFmtId="0" fontId="150" fillId="0" borderId="39" xfId="0" applyFont="1" applyFill="1" applyBorder="1" applyAlignment="1" applyProtection="1">
      <alignment vertical="center"/>
    </xf>
    <xf numFmtId="14" fontId="150" fillId="37" borderId="40" xfId="0" applyNumberFormat="1" applyFont="1" applyFill="1" applyBorder="1" applyAlignment="1" applyProtection="1">
      <alignment horizontal="centerContinuous" vertical="center"/>
      <protection locked="0"/>
    </xf>
    <xf numFmtId="0" fontId="152" fillId="37" borderId="40" xfId="0" applyFont="1" applyFill="1" applyBorder="1" applyAlignment="1" applyProtection="1">
      <alignment horizontal="centerContinuous" vertical="center"/>
    </xf>
    <xf numFmtId="197" fontId="157" fillId="26" borderId="30" xfId="0" applyNumberFormat="1" applyFont="1" applyFill="1" applyBorder="1" applyAlignment="1" applyProtection="1">
      <alignment horizontal="left" vertical="center"/>
    </xf>
    <xf numFmtId="0" fontId="152" fillId="37" borderId="0" xfId="0" applyFont="1" applyFill="1" applyAlignment="1" applyProtection="1">
      <alignment horizontal="center"/>
      <protection locked="0"/>
    </xf>
    <xf numFmtId="1" fontId="160" fillId="0" borderId="33" xfId="0" applyNumberFormat="1" applyFont="1" applyFill="1" applyBorder="1" applyAlignment="1" applyProtection="1">
      <alignment horizontal="center" vertical="center"/>
    </xf>
    <xf numFmtId="0" fontId="160" fillId="0" borderId="33" xfId="0" applyFont="1" applyFill="1" applyBorder="1" applyAlignment="1" applyProtection="1">
      <alignment horizontal="center" vertical="center"/>
    </xf>
    <xf numFmtId="0" fontId="153" fillId="26" borderId="115" xfId="0" applyFont="1" applyFill="1" applyBorder="1" applyAlignment="1" applyProtection="1">
      <alignment horizontal="center" vertical="center"/>
    </xf>
    <xf numFmtId="0" fontId="153" fillId="26" borderId="54" xfId="0" applyFont="1" applyFill="1" applyBorder="1" applyAlignment="1" applyProtection="1">
      <alignment horizontal="center" vertical="center"/>
    </xf>
    <xf numFmtId="0" fontId="156" fillId="0" borderId="0" xfId="0" applyFont="1" applyFill="1" applyBorder="1" applyAlignment="1" applyProtection="1">
      <alignment horizontal="center" vertical="center"/>
    </xf>
    <xf numFmtId="1" fontId="153" fillId="0" borderId="36" xfId="41" applyNumberFormat="1" applyFont="1" applyFill="1" applyBorder="1" applyAlignment="1" applyProtection="1">
      <alignment horizontal="center" vertical="center" wrapText="1"/>
    </xf>
    <xf numFmtId="1" fontId="153" fillId="26" borderId="36" xfId="41" applyNumberFormat="1" applyFont="1" applyFill="1" applyBorder="1" applyAlignment="1" applyProtection="1">
      <alignment horizontal="center" vertical="center" wrapText="1"/>
    </xf>
    <xf numFmtId="1" fontId="153" fillId="26" borderId="87" xfId="41" applyNumberFormat="1" applyFont="1" applyFill="1" applyBorder="1" applyAlignment="1" applyProtection="1">
      <alignment horizontal="center" vertical="center" wrapText="1"/>
    </xf>
    <xf numFmtId="0" fontId="96" fillId="26" borderId="0" xfId="0" applyFont="1" applyFill="1" applyBorder="1" applyAlignment="1" applyProtection="1">
      <alignment horizontal="center"/>
    </xf>
    <xf numFmtId="0" fontId="96" fillId="26" borderId="0" xfId="0" applyFont="1" applyFill="1" applyAlignment="1" applyProtection="1">
      <alignment horizontal="center" vertical="center"/>
    </xf>
    <xf numFmtId="0" fontId="151" fillId="26" borderId="0" xfId="0" applyFont="1" applyFill="1" applyBorder="1" applyAlignment="1" applyProtection="1">
      <alignment horizontal="center" vertical="center"/>
    </xf>
    <xf numFmtId="0" fontId="161" fillId="0" borderId="13" xfId="0" applyFont="1" applyFill="1" applyBorder="1" applyAlignment="1" applyProtection="1">
      <alignment horizontal="left" vertical="center"/>
    </xf>
    <xf numFmtId="10" fontId="152" fillId="47" borderId="14" xfId="41" applyNumberFormat="1" applyFont="1" applyFill="1" applyBorder="1" applyAlignment="1" applyProtection="1">
      <alignment horizontal="right" vertical="center"/>
    </xf>
    <xf numFmtId="10" fontId="152" fillId="0" borderId="14" xfId="41" applyNumberFormat="1" applyFont="1" applyFill="1" applyBorder="1" applyAlignment="1" applyProtection="1">
      <alignment horizontal="right" vertical="center"/>
    </xf>
    <xf numFmtId="10" fontId="152" fillId="0" borderId="14" xfId="41" applyNumberFormat="1" applyFont="1" applyFill="1" applyBorder="1" applyAlignment="1" applyProtection="1">
      <alignment vertical="center"/>
    </xf>
    <xf numFmtId="0" fontId="151" fillId="0" borderId="0" xfId="0" applyFont="1" applyFill="1" applyBorder="1" applyAlignment="1" applyProtection="1">
      <alignment horizontal="center" vertical="center"/>
    </xf>
    <xf numFmtId="0" fontId="91" fillId="0" borderId="0" xfId="0" applyFont="1" applyFill="1" applyBorder="1" applyAlignment="1" applyProtection="1">
      <alignment horizontal="center" vertical="center"/>
    </xf>
    <xf numFmtId="10" fontId="91" fillId="0" borderId="0" xfId="0" applyNumberFormat="1" applyFont="1" applyFill="1" applyBorder="1" applyAlignment="1" applyProtection="1">
      <alignment horizontal="right" vertical="center"/>
    </xf>
    <xf numFmtId="0" fontId="153" fillId="26" borderId="106" xfId="0" applyFont="1" applyFill="1" applyBorder="1" applyAlignment="1" applyProtection="1">
      <alignment vertical="center"/>
    </xf>
    <xf numFmtId="0" fontId="153" fillId="26" borderId="66" xfId="0" applyFont="1" applyFill="1" applyBorder="1" applyAlignment="1" applyProtection="1">
      <alignment horizontal="center" vertical="center"/>
    </xf>
    <xf numFmtId="0" fontId="153" fillId="0" borderId="66" xfId="0" applyFont="1" applyFill="1" applyBorder="1" applyAlignment="1" applyProtection="1">
      <alignment horizontal="center" vertical="center" wrapText="1"/>
    </xf>
    <xf numFmtId="1" fontId="153" fillId="0" borderId="66" xfId="41" applyNumberFormat="1" applyFont="1" applyFill="1" applyBorder="1" applyAlignment="1" applyProtection="1">
      <alignment horizontal="center" vertical="center" wrapText="1"/>
    </xf>
    <xf numFmtId="0" fontId="153" fillId="0" borderId="66" xfId="0" applyFont="1" applyFill="1" applyBorder="1" applyAlignment="1" applyProtection="1">
      <alignment horizontal="center" vertical="center"/>
    </xf>
    <xf numFmtId="0" fontId="153" fillId="0" borderId="89" xfId="0" applyFont="1" applyFill="1" applyBorder="1" applyAlignment="1" applyProtection="1">
      <alignment horizontal="center" vertical="center"/>
    </xf>
    <xf numFmtId="0" fontId="153" fillId="32" borderId="0" xfId="0" applyFont="1" applyFill="1" applyBorder="1" applyAlignment="1" applyProtection="1">
      <alignment horizontal="center" vertical="center" wrapText="1"/>
    </xf>
    <xf numFmtId="0" fontId="96" fillId="26" borderId="0" xfId="0" applyFont="1" applyFill="1" applyBorder="1" applyProtection="1"/>
    <xf numFmtId="0" fontId="153" fillId="26" borderId="0" xfId="0" applyFont="1" applyFill="1" applyBorder="1" applyAlignment="1" applyProtection="1">
      <alignment vertical="center"/>
    </xf>
    <xf numFmtId="10" fontId="152" fillId="47" borderId="13" xfId="41" applyNumberFormat="1" applyFont="1" applyFill="1" applyBorder="1" applyAlignment="1" applyProtection="1">
      <alignment horizontal="right" vertical="center"/>
    </xf>
    <xf numFmtId="10" fontId="152" fillId="0" borderId="13" xfId="41" applyNumberFormat="1" applyFont="1" applyFill="1" applyBorder="1" applyAlignment="1" applyProtection="1">
      <alignment horizontal="right" vertical="center"/>
    </xf>
    <xf numFmtId="10" fontId="152" fillId="0" borderId="13" xfId="41" applyNumberFormat="1" applyFont="1" applyFill="1" applyBorder="1" applyAlignment="1" applyProtection="1">
      <alignment vertical="center"/>
    </xf>
    <xf numFmtId="0" fontId="153" fillId="0" borderId="0" xfId="0" applyFont="1" applyFill="1" applyBorder="1" applyAlignment="1" applyProtection="1">
      <alignment vertical="center"/>
    </xf>
    <xf numFmtId="1" fontId="91" fillId="0" borderId="0" xfId="0" applyNumberFormat="1" applyFont="1" applyFill="1" applyBorder="1" applyAlignment="1" applyProtection="1">
      <alignment horizontal="center" vertical="center"/>
    </xf>
    <xf numFmtId="0" fontId="153" fillId="26" borderId="45" xfId="0" applyFont="1" applyFill="1" applyBorder="1" applyAlignment="1" applyProtection="1">
      <alignment vertical="center"/>
    </xf>
    <xf numFmtId="2" fontId="152" fillId="26" borderId="14" xfId="0" applyNumberFormat="1" applyFont="1" applyFill="1" applyBorder="1" applyAlignment="1" applyProtection="1">
      <alignment vertical="center"/>
    </xf>
    <xf numFmtId="2" fontId="152" fillId="0" borderId="14" xfId="0" applyNumberFormat="1" applyFont="1" applyFill="1" applyBorder="1" applyAlignment="1" applyProtection="1">
      <alignment vertical="center" wrapText="1"/>
    </xf>
    <xf numFmtId="2" fontId="153" fillId="0" borderId="26" xfId="0" applyNumberFormat="1" applyFont="1" applyFill="1" applyBorder="1" applyAlignment="1" applyProtection="1">
      <alignment horizontal="center" vertical="center"/>
    </xf>
    <xf numFmtId="2" fontId="153" fillId="0" borderId="0" xfId="0" applyNumberFormat="1" applyFont="1" applyFill="1" applyBorder="1" applyAlignment="1" applyProtection="1">
      <alignment horizontal="center" vertical="center" wrapText="1"/>
    </xf>
    <xf numFmtId="0" fontId="153" fillId="32" borderId="0" xfId="0" applyFont="1" applyFill="1" applyBorder="1" applyAlignment="1" applyProtection="1">
      <alignment vertical="center"/>
    </xf>
    <xf numFmtId="0" fontId="153" fillId="32" borderId="44" xfId="0" applyFont="1" applyFill="1" applyBorder="1" applyAlignment="1" applyProtection="1">
      <alignment vertical="center"/>
    </xf>
    <xf numFmtId="0" fontId="96" fillId="26" borderId="0" xfId="0" applyFont="1" applyFill="1" applyBorder="1" applyAlignment="1" applyProtection="1">
      <alignment vertical="center"/>
    </xf>
    <xf numFmtId="0" fontId="153" fillId="26" borderId="15" xfId="0" applyFont="1" applyFill="1" applyBorder="1" applyAlignment="1" applyProtection="1">
      <alignment vertical="center"/>
    </xf>
    <xf numFmtId="4" fontId="152" fillId="35" borderId="13" xfId="41" applyNumberFormat="1" applyFont="1" applyFill="1" applyBorder="1" applyAlignment="1" applyProtection="1">
      <alignment horizontal="right" vertical="center" wrapText="1"/>
      <protection locked="0"/>
    </xf>
    <xf numFmtId="2" fontId="153" fillId="0" borderId="29" xfId="0" applyNumberFormat="1" applyFont="1" applyFill="1" applyBorder="1" applyAlignment="1" applyProtection="1">
      <alignment horizontal="right" vertical="center" wrapText="1"/>
    </xf>
    <xf numFmtId="0" fontId="153" fillId="32" borderId="0" xfId="0" applyFont="1" applyFill="1" applyBorder="1" applyAlignment="1" applyProtection="1">
      <alignment horizontal="center" vertical="center"/>
    </xf>
    <xf numFmtId="14" fontId="156" fillId="32" borderId="44" xfId="0" applyNumberFormat="1" applyFont="1" applyFill="1" applyBorder="1" applyAlignment="1" applyProtection="1">
      <alignment horizontal="left" vertical="center"/>
    </xf>
    <xf numFmtId="10" fontId="152" fillId="0" borderId="13" xfId="41" applyNumberFormat="1" applyFont="1" applyFill="1" applyBorder="1" applyAlignment="1" applyProtection="1">
      <alignment vertical="center" wrapText="1"/>
    </xf>
    <xf numFmtId="10" fontId="153" fillId="0" borderId="29" xfId="41" applyNumberFormat="1" applyFont="1" applyFill="1" applyBorder="1" applyAlignment="1" applyProtection="1">
      <alignment horizontal="right" vertical="center" wrapText="1"/>
    </xf>
    <xf numFmtId="0" fontId="153" fillId="32" borderId="44" xfId="0" applyFont="1" applyFill="1" applyBorder="1" applyAlignment="1" applyProtection="1">
      <alignment horizontal="center" vertical="center"/>
    </xf>
    <xf numFmtId="10" fontId="152" fillId="47" borderId="51" xfId="41" applyNumberFormat="1" applyFont="1" applyFill="1" applyBorder="1" applyAlignment="1" applyProtection="1">
      <alignment horizontal="right" vertical="center"/>
    </xf>
    <xf numFmtId="10" fontId="152" fillId="0" borderId="51" xfId="41" applyNumberFormat="1" applyFont="1" applyFill="1" applyBorder="1" applyAlignment="1" applyProtection="1">
      <alignment horizontal="right" vertical="center"/>
    </xf>
    <xf numFmtId="10" fontId="152" fillId="0" borderId="51" xfId="41" applyNumberFormat="1" applyFont="1" applyFill="1" applyBorder="1" applyAlignment="1" applyProtection="1">
      <alignment vertical="center"/>
    </xf>
    <xf numFmtId="1" fontId="130" fillId="26" borderId="13" xfId="0" applyNumberFormat="1" applyFont="1" applyFill="1" applyBorder="1" applyAlignment="1" applyProtection="1">
      <alignment vertical="center"/>
    </xf>
    <xf numFmtId="1" fontId="130" fillId="0" borderId="13" xfId="38" applyNumberFormat="1" applyFont="1" applyFill="1" applyBorder="1" applyAlignment="1" applyProtection="1">
      <alignment horizontal="right" vertical="center" wrapText="1"/>
    </xf>
    <xf numFmtId="3" fontId="164" fillId="32" borderId="29" xfId="0" applyNumberFormat="1" applyFont="1" applyFill="1" applyBorder="1" applyAlignment="1" applyProtection="1">
      <alignment vertical="center"/>
    </xf>
    <xf numFmtId="2" fontId="165" fillId="26" borderId="0" xfId="0" applyNumberFormat="1" applyFont="1" applyFill="1" applyBorder="1" applyAlignment="1" applyProtection="1">
      <alignment vertical="center"/>
    </xf>
    <xf numFmtId="2" fontId="153" fillId="32" borderId="0" xfId="0" applyNumberFormat="1" applyFont="1" applyFill="1" applyBorder="1" applyAlignment="1" applyProtection="1">
      <alignment vertical="center"/>
    </xf>
    <xf numFmtId="2" fontId="96" fillId="26" borderId="0" xfId="0" applyNumberFormat="1" applyFont="1" applyFill="1" applyBorder="1" applyProtection="1"/>
    <xf numFmtId="10" fontId="152" fillId="0" borderId="0" xfId="0" applyNumberFormat="1" applyFont="1" applyFill="1" applyBorder="1" applyAlignment="1" applyProtection="1">
      <alignment vertical="center"/>
    </xf>
    <xf numFmtId="10" fontId="152" fillId="0" borderId="0" xfId="41" applyNumberFormat="1" applyFont="1" applyFill="1" applyBorder="1" applyAlignment="1" applyProtection="1">
      <alignment vertical="center"/>
    </xf>
    <xf numFmtId="0" fontId="164" fillId="26" borderId="15" xfId="0" applyFont="1" applyFill="1" applyBorder="1" applyAlignment="1" applyProtection="1">
      <alignment vertical="center"/>
    </xf>
    <xf numFmtId="1" fontId="130" fillId="0" borderId="13" xfId="41" applyNumberFormat="1" applyFont="1" applyFill="1" applyBorder="1" applyAlignment="1" applyProtection="1">
      <alignment horizontal="right" vertical="center" wrapText="1"/>
    </xf>
    <xf numFmtId="3" fontId="164" fillId="32" borderId="60" xfId="0" applyNumberFormat="1" applyFont="1" applyFill="1" applyBorder="1" applyAlignment="1" applyProtection="1">
      <alignment vertical="center"/>
    </xf>
    <xf numFmtId="2" fontId="167" fillId="26" borderId="63" xfId="0" applyNumberFormat="1" applyFont="1" applyFill="1" applyBorder="1" applyAlignment="1" applyProtection="1">
      <alignment horizontal="center" vertical="center"/>
    </xf>
    <xf numFmtId="0" fontId="168" fillId="32" borderId="63" xfId="0" applyFont="1" applyFill="1" applyBorder="1" applyAlignment="1" applyProtection="1">
      <alignment horizontal="center" vertical="center"/>
    </xf>
    <xf numFmtId="0" fontId="164" fillId="32" borderId="44" xfId="0" applyFont="1" applyFill="1" applyBorder="1" applyAlignment="1" applyProtection="1">
      <alignment vertical="center"/>
    </xf>
    <xf numFmtId="2" fontId="96" fillId="26" borderId="0" xfId="0" applyNumberFormat="1" applyFont="1" applyFill="1" applyProtection="1"/>
    <xf numFmtId="0" fontId="161" fillId="0" borderId="13" xfId="0" applyFont="1" applyFill="1" applyBorder="1" applyAlignment="1" applyProtection="1">
      <alignment vertical="center"/>
    </xf>
    <xf numFmtId="0" fontId="164" fillId="26" borderId="86" xfId="0" applyFont="1" applyFill="1" applyBorder="1" applyAlignment="1" applyProtection="1">
      <alignment vertical="center"/>
    </xf>
    <xf numFmtId="1" fontId="130" fillId="26" borderId="51" xfId="0" applyNumberFormat="1" applyFont="1" applyFill="1" applyBorder="1" applyAlignment="1" applyProtection="1">
      <alignment vertical="center"/>
    </xf>
    <xf numFmtId="1" fontId="130" fillId="0" borderId="51" xfId="38" applyNumberFormat="1" applyFont="1" applyFill="1" applyBorder="1" applyAlignment="1" applyProtection="1">
      <alignment horizontal="right" vertical="center" wrapText="1"/>
    </xf>
    <xf numFmtId="1" fontId="130" fillId="0" borderId="86" xfId="38" applyNumberFormat="1" applyFont="1" applyFill="1" applyBorder="1" applyAlignment="1" applyProtection="1">
      <alignment horizontal="right" vertical="center" wrapText="1"/>
    </xf>
    <xf numFmtId="3" fontId="164" fillId="0" borderId="32" xfId="0" applyNumberFormat="1" applyFont="1" applyFill="1" applyBorder="1" applyAlignment="1" applyProtection="1">
      <alignment vertical="center"/>
    </xf>
    <xf numFmtId="1" fontId="171" fillId="26" borderId="64" xfId="0" applyNumberFormat="1" applyFont="1" applyFill="1" applyBorder="1" applyAlignment="1" applyProtection="1">
      <alignment horizontal="center" vertical="center"/>
    </xf>
    <xf numFmtId="1" fontId="168" fillId="32" borderId="64" xfId="0" applyNumberFormat="1" applyFont="1" applyFill="1" applyBorder="1" applyAlignment="1" applyProtection="1">
      <alignment horizontal="center" vertical="center"/>
    </xf>
    <xf numFmtId="0" fontId="172" fillId="26" borderId="115" xfId="0" applyNumberFormat="1" applyFont="1" applyFill="1" applyBorder="1" applyAlignment="1" applyProtection="1">
      <alignment horizontal="right" vertical="center" wrapText="1"/>
    </xf>
    <xf numFmtId="190" fontId="96" fillId="26" borderId="0" xfId="0" applyNumberFormat="1" applyFont="1" applyFill="1" applyBorder="1" applyAlignment="1" applyProtection="1">
      <alignment vertical="center" wrapText="1"/>
    </xf>
    <xf numFmtId="0" fontId="96" fillId="26" borderId="38" xfId="0" applyNumberFormat="1" applyFont="1" applyFill="1" applyBorder="1" applyAlignment="1" applyProtection="1">
      <alignment vertical="center" wrapText="1"/>
    </xf>
    <xf numFmtId="0" fontId="162" fillId="0" borderId="46" xfId="0" applyFont="1" applyFill="1" applyBorder="1" applyAlignment="1" applyProtection="1">
      <alignment horizontal="center" vertical="center"/>
    </xf>
    <xf numFmtId="0" fontId="162" fillId="0" borderId="14" xfId="0" applyFont="1" applyFill="1" applyBorder="1" applyAlignment="1" applyProtection="1">
      <alignment horizontal="center" vertical="center"/>
    </xf>
    <xf numFmtId="0" fontId="153" fillId="0" borderId="14" xfId="0" applyFont="1" applyFill="1" applyBorder="1" applyAlignment="1" applyProtection="1">
      <alignment horizontal="center" vertical="center"/>
    </xf>
    <xf numFmtId="0" fontId="153" fillId="0" borderId="60" xfId="0" applyFont="1" applyFill="1" applyBorder="1" applyAlignment="1" applyProtection="1">
      <alignment horizontal="center" vertical="center"/>
    </xf>
    <xf numFmtId="210" fontId="125" fillId="26" borderId="37" xfId="0" applyNumberFormat="1" applyFont="1" applyFill="1" applyBorder="1" applyAlignment="1" applyProtection="1">
      <alignment vertical="center"/>
    </xf>
    <xf numFmtId="210" fontId="125" fillId="26" borderId="44" xfId="0" applyNumberFormat="1" applyFont="1" applyFill="1" applyBorder="1" applyAlignment="1" applyProtection="1">
      <alignment vertical="center"/>
    </xf>
    <xf numFmtId="1" fontId="152" fillId="35" borderId="13" xfId="0" applyNumberFormat="1" applyFont="1" applyFill="1" applyBorder="1" applyAlignment="1" applyProtection="1">
      <alignment vertical="center"/>
    </xf>
    <xf numFmtId="3" fontId="153" fillId="0" borderId="68" xfId="38" applyNumberFormat="1" applyFont="1" applyFill="1" applyBorder="1" applyAlignment="1" applyProtection="1">
      <alignment horizontal="center" vertical="center" wrapText="1"/>
    </xf>
    <xf numFmtId="10" fontId="153" fillId="37" borderId="51" xfId="41" applyNumberFormat="1" applyFont="1" applyFill="1" applyBorder="1" applyAlignment="1" applyProtection="1">
      <alignment horizontal="center" vertical="center" wrapText="1"/>
      <protection locked="0"/>
    </xf>
    <xf numFmtId="10" fontId="153" fillId="35" borderId="68" xfId="41" applyNumberFormat="1" applyFont="1" applyFill="1" applyBorder="1" applyAlignment="1" applyProtection="1">
      <alignment horizontal="center" vertical="center" wrapText="1"/>
      <protection locked="0"/>
    </xf>
    <xf numFmtId="0" fontId="153" fillId="26" borderId="51" xfId="0" applyFont="1" applyFill="1" applyBorder="1" applyAlignment="1" applyProtection="1">
      <alignment horizontal="center" vertical="center"/>
      <protection locked="0"/>
    </xf>
    <xf numFmtId="10" fontId="153" fillId="0" borderId="32" xfId="41" applyNumberFormat="1" applyFont="1" applyFill="1" applyBorder="1" applyAlignment="1" applyProtection="1">
      <alignment horizontal="center" vertical="center"/>
    </xf>
    <xf numFmtId="178" fontId="153" fillId="32" borderId="39" xfId="0" applyNumberFormat="1" applyFont="1" applyFill="1" applyBorder="1" applyAlignment="1" applyProtection="1">
      <alignment vertical="center"/>
    </xf>
    <xf numFmtId="178" fontId="153" fillId="32" borderId="117" xfId="0" applyNumberFormat="1" applyFont="1" applyFill="1" applyBorder="1" applyAlignment="1" applyProtection="1">
      <alignment vertical="center"/>
    </xf>
    <xf numFmtId="2" fontId="96" fillId="26" borderId="0" xfId="0" applyNumberFormat="1" applyFont="1" applyFill="1" applyBorder="1" applyAlignment="1" applyProtection="1">
      <alignment horizontal="center" vertical="center"/>
      <protection hidden="1"/>
    </xf>
    <xf numFmtId="2" fontId="174" fillId="26" borderId="40" xfId="38" applyNumberFormat="1" applyFont="1" applyFill="1" applyBorder="1" applyAlignment="1" applyProtection="1">
      <alignment horizontal="right" vertical="center"/>
      <protection hidden="1"/>
    </xf>
    <xf numFmtId="3" fontId="152" fillId="26" borderId="41" xfId="38" applyNumberFormat="1" applyFont="1" applyFill="1" applyBorder="1" applyAlignment="1" applyProtection="1">
      <alignment horizontal="right" vertical="center" wrapText="1"/>
    </xf>
    <xf numFmtId="3" fontId="152" fillId="26" borderId="0" xfId="0" applyNumberFormat="1" applyFont="1" applyFill="1" applyBorder="1" applyAlignment="1" applyProtection="1">
      <alignment horizontal="center" vertical="center"/>
    </xf>
    <xf numFmtId="3" fontId="153" fillId="26" borderId="44" xfId="38" applyNumberFormat="1" applyFont="1" applyFill="1" applyBorder="1" applyAlignment="1" applyProtection="1">
      <alignment horizontal="right" vertical="center" wrapText="1"/>
    </xf>
    <xf numFmtId="10" fontId="175" fillId="26" borderId="0" xfId="0" applyNumberFormat="1" applyFont="1" applyFill="1" applyBorder="1" applyAlignment="1" applyProtection="1">
      <alignment horizontal="centerContinuous" vertical="center" wrapText="1"/>
    </xf>
    <xf numFmtId="0" fontId="152" fillId="26" borderId="116" xfId="0" applyFont="1" applyFill="1" applyBorder="1" applyAlignment="1" applyProtection="1">
      <alignment vertical="center"/>
    </xf>
    <xf numFmtId="177" fontId="176" fillId="26" borderId="36" xfId="0" applyNumberFormat="1" applyFont="1" applyFill="1" applyBorder="1" applyAlignment="1" applyProtection="1">
      <alignment horizontal="center" vertical="center"/>
    </xf>
    <xf numFmtId="177" fontId="176" fillId="26" borderId="87" xfId="0" applyNumberFormat="1" applyFont="1" applyFill="1" applyBorder="1" applyAlignment="1" applyProtection="1">
      <alignment horizontal="center" vertical="center"/>
    </xf>
    <xf numFmtId="0" fontId="153" fillId="0" borderId="69" xfId="0" applyFont="1" applyFill="1" applyBorder="1" applyAlignment="1" applyProtection="1">
      <alignment horizontal="center" vertical="center"/>
    </xf>
    <xf numFmtId="0" fontId="153" fillId="0" borderId="25" xfId="0" applyFont="1" applyFill="1" applyBorder="1" applyAlignment="1" applyProtection="1">
      <alignment horizontal="centerContinuous" vertical="center"/>
    </xf>
    <xf numFmtId="0" fontId="154" fillId="33" borderId="89" xfId="0" applyFont="1" applyFill="1" applyBorder="1" applyAlignment="1" applyProtection="1">
      <alignment horizontal="left" vertical="center"/>
    </xf>
    <xf numFmtId="0" fontId="154" fillId="26" borderId="0" xfId="0" applyFont="1" applyFill="1" applyBorder="1" applyAlignment="1" applyProtection="1">
      <alignment horizontal="center" vertical="center"/>
    </xf>
    <xf numFmtId="3" fontId="153" fillId="0" borderId="71" xfId="41" applyNumberFormat="1" applyFont="1" applyFill="1" applyBorder="1" applyAlignment="1" applyProtection="1">
      <alignment horizontal="center" vertical="center" wrapText="1"/>
    </xf>
    <xf numFmtId="3" fontId="153" fillId="0" borderId="27" xfId="41" applyNumberFormat="1" applyFont="1" applyFill="1" applyBorder="1" applyAlignment="1" applyProtection="1">
      <alignment horizontal="center" vertical="center" wrapText="1"/>
    </xf>
    <xf numFmtId="0" fontId="153" fillId="0" borderId="65" xfId="0" applyFont="1" applyFill="1" applyBorder="1" applyAlignment="1" applyProtection="1">
      <alignment vertical="center"/>
    </xf>
    <xf numFmtId="0" fontId="152" fillId="0" borderId="82" xfId="0" applyFont="1" applyFill="1" applyBorder="1" applyAlignment="1" applyProtection="1">
      <alignment horizontal="center" vertical="center"/>
    </xf>
    <xf numFmtId="1" fontId="153" fillId="0" borderId="68" xfId="41" applyNumberFormat="1" applyFont="1" applyFill="1" applyBorder="1" applyAlignment="1" applyProtection="1">
      <alignment horizontal="center" vertical="center" wrapText="1"/>
    </xf>
    <xf numFmtId="0" fontId="177" fillId="0" borderId="58" xfId="0" applyFont="1" applyFill="1" applyBorder="1" applyAlignment="1" applyProtection="1">
      <alignment horizontal="center" vertical="center"/>
    </xf>
    <xf numFmtId="0" fontId="177" fillId="0" borderId="72" xfId="0" applyFont="1" applyFill="1" applyBorder="1" applyAlignment="1" applyProtection="1">
      <alignment horizontal="center" vertical="center"/>
    </xf>
    <xf numFmtId="0" fontId="177" fillId="0" borderId="73" xfId="0" applyFont="1" applyFill="1" applyBorder="1" applyAlignment="1" applyProtection="1">
      <alignment horizontal="center" vertical="center"/>
    </xf>
    <xf numFmtId="0" fontId="153" fillId="26" borderId="37" xfId="0" applyFont="1" applyFill="1" applyBorder="1" applyProtection="1">
      <protection locked="0"/>
    </xf>
    <xf numFmtId="0" fontId="96" fillId="26" borderId="0" xfId="0" applyFont="1" applyFill="1" applyBorder="1"/>
    <xf numFmtId="0" fontId="125" fillId="26" borderId="36" xfId="0" applyFont="1" applyFill="1" applyBorder="1" applyAlignment="1">
      <alignment horizontal="center"/>
    </xf>
    <xf numFmtId="10" fontId="125" fillId="26" borderId="36" xfId="0" applyNumberFormat="1" applyFont="1" applyFill="1" applyBorder="1" applyAlignment="1">
      <alignment horizontal="center"/>
    </xf>
    <xf numFmtId="0" fontId="152" fillId="0" borderId="48" xfId="0" applyFont="1" applyFill="1" applyBorder="1" applyAlignment="1" applyProtection="1">
      <alignment vertical="center"/>
    </xf>
    <xf numFmtId="4" fontId="152" fillId="0" borderId="77" xfId="0" applyNumberFormat="1" applyFont="1" applyFill="1" applyBorder="1" applyAlignment="1" applyProtection="1">
      <alignment horizontal="right" vertical="center"/>
    </xf>
    <xf numFmtId="2" fontId="152" fillId="0" borderId="14" xfId="0" applyNumberFormat="1" applyFont="1" applyFill="1" applyBorder="1" applyAlignment="1" applyProtection="1">
      <alignment vertical="center"/>
    </xf>
    <xf numFmtId="4" fontId="152" fillId="0" borderId="26" xfId="0" applyNumberFormat="1" applyFont="1" applyFill="1" applyBorder="1" applyAlignment="1" applyProtection="1">
      <alignment vertical="center"/>
    </xf>
    <xf numFmtId="4" fontId="152" fillId="37" borderId="42" xfId="0" applyNumberFormat="1" applyFont="1" applyFill="1" applyBorder="1" applyAlignment="1" applyProtection="1">
      <alignment vertical="center"/>
      <protection locked="0"/>
    </xf>
    <xf numFmtId="3" fontId="152" fillId="37" borderId="26" xfId="0" applyNumberFormat="1" applyFont="1" applyFill="1" applyBorder="1" applyAlignment="1" applyProtection="1">
      <alignment horizontal="right" vertical="center"/>
      <protection locked="0"/>
    </xf>
    <xf numFmtId="3" fontId="152" fillId="0" borderId="25" xfId="0" applyNumberFormat="1" applyFont="1" applyFill="1" applyBorder="1" applyAlignment="1" applyProtection="1">
      <alignment vertical="center"/>
    </xf>
    <xf numFmtId="3" fontId="152" fillId="0" borderId="63" xfId="0" applyNumberFormat="1" applyFont="1" applyFill="1" applyBorder="1" applyAlignment="1" applyProtection="1">
      <alignment vertical="center"/>
    </xf>
    <xf numFmtId="0" fontId="153" fillId="26" borderId="37" xfId="0" applyFont="1" applyFill="1" applyBorder="1" applyAlignment="1" applyProtection="1">
      <alignment vertical="center"/>
      <protection locked="0"/>
    </xf>
    <xf numFmtId="0" fontId="125" fillId="26" borderId="0" xfId="0" applyFont="1" applyFill="1" applyBorder="1" applyAlignment="1">
      <alignment horizontal="right" vertical="center"/>
    </xf>
    <xf numFmtId="198" fontId="96" fillId="35" borderId="13" xfId="0" applyNumberFormat="1" applyFont="1" applyFill="1" applyBorder="1" applyAlignment="1"/>
    <xf numFmtId="218" fontId="96" fillId="26" borderId="13" xfId="0" applyNumberFormat="1" applyFont="1" applyFill="1" applyBorder="1" applyAlignment="1"/>
    <xf numFmtId="10" fontId="152" fillId="37" borderId="60" xfId="0" applyNumberFormat="1" applyFont="1" applyFill="1" applyBorder="1" applyProtection="1">
      <protection locked="0"/>
    </xf>
    <xf numFmtId="199" fontId="96" fillId="0" borderId="13" xfId="0" applyNumberFormat="1" applyFont="1" applyFill="1" applyBorder="1" applyAlignment="1" applyProtection="1">
      <alignment vertical="center"/>
    </xf>
    <xf numFmtId="2" fontId="96" fillId="0" borderId="12" xfId="0" applyNumberFormat="1" applyFont="1" applyFill="1" applyBorder="1" applyAlignment="1" applyProtection="1">
      <alignment horizontal="right" vertical="center"/>
    </xf>
    <xf numFmtId="2" fontId="152" fillId="0" borderId="13" xfId="0" applyNumberFormat="1" applyFont="1" applyFill="1" applyBorder="1" applyAlignment="1" applyProtection="1">
      <alignment vertical="center"/>
    </xf>
    <xf numFmtId="4" fontId="152" fillId="0" borderId="29" xfId="0" applyNumberFormat="1" applyFont="1" applyFill="1" applyBorder="1" applyAlignment="1" applyProtection="1">
      <alignment horizontal="right" vertical="center"/>
    </xf>
    <xf numFmtId="4" fontId="152" fillId="37" borderId="49" xfId="0" applyNumberFormat="1" applyFont="1" applyFill="1" applyBorder="1" applyAlignment="1" applyProtection="1">
      <alignment vertical="center"/>
      <protection locked="0"/>
    </xf>
    <xf numFmtId="3" fontId="152" fillId="37" borderId="29" xfId="0" applyNumberFormat="1" applyFont="1" applyFill="1" applyBorder="1" applyAlignment="1" applyProtection="1">
      <alignment horizontal="right" vertical="center"/>
      <protection locked="0"/>
    </xf>
    <xf numFmtId="3" fontId="152" fillId="0" borderId="49" xfId="0" applyNumberFormat="1" applyFont="1" applyFill="1" applyBorder="1" applyAlignment="1" applyProtection="1">
      <alignment vertical="center"/>
    </xf>
    <xf numFmtId="4" fontId="152" fillId="0" borderId="29" xfId="0" applyNumberFormat="1" applyFont="1" applyFill="1" applyBorder="1" applyAlignment="1" applyProtection="1">
      <alignment vertical="center"/>
    </xf>
    <xf numFmtId="3" fontId="152" fillId="0" borderId="73" xfId="0" applyNumberFormat="1" applyFont="1" applyFill="1" applyBorder="1" applyAlignment="1" applyProtection="1">
      <alignment vertical="center"/>
    </xf>
    <xf numFmtId="198" fontId="96" fillId="35" borderId="13" xfId="55" applyNumberFormat="1" applyFont="1" applyFill="1" applyBorder="1" applyAlignment="1"/>
    <xf numFmtId="0" fontId="152" fillId="0" borderId="13" xfId="0" applyFont="1" applyFill="1" applyBorder="1" applyAlignment="1" applyProtection="1">
      <alignment vertical="center"/>
    </xf>
    <xf numFmtId="4" fontId="152" fillId="0" borderId="12" xfId="0" applyNumberFormat="1" applyFont="1" applyFill="1" applyBorder="1" applyAlignment="1" applyProtection="1">
      <alignment horizontal="right" vertical="center"/>
    </xf>
    <xf numFmtId="0" fontId="152" fillId="0" borderId="12" xfId="0" applyFont="1" applyFill="1" applyBorder="1" applyAlignment="1" applyProtection="1">
      <alignment horizontal="right" vertical="center"/>
    </xf>
    <xf numFmtId="0" fontId="152" fillId="26" borderId="37" xfId="0" applyFont="1" applyFill="1" applyBorder="1" applyAlignment="1" applyProtection="1">
      <alignment vertical="center"/>
      <protection locked="0"/>
    </xf>
    <xf numFmtId="3" fontId="152" fillId="26" borderId="27" xfId="0" applyNumberFormat="1" applyFont="1" applyFill="1" applyBorder="1" applyAlignment="1" applyProtection="1">
      <alignment vertical="center"/>
    </xf>
    <xf numFmtId="4" fontId="174" fillId="26" borderId="0" xfId="0" applyNumberFormat="1" applyFont="1" applyFill="1" applyBorder="1" applyAlignment="1" applyProtection="1">
      <alignment vertical="center"/>
    </xf>
    <xf numFmtId="0" fontId="125" fillId="26" borderId="37" xfId="0" applyFont="1" applyFill="1" applyBorder="1" applyAlignment="1">
      <alignment horizontal="center" vertical="center" shrinkToFit="1"/>
    </xf>
    <xf numFmtId="0" fontId="125" fillId="26" borderId="0" xfId="0" applyFont="1" applyFill="1" applyBorder="1" applyAlignment="1">
      <alignment horizontal="center" vertical="center" shrinkToFit="1"/>
    </xf>
    <xf numFmtId="0" fontId="152" fillId="0" borderId="34" xfId="0" applyFont="1" applyFill="1" applyBorder="1" applyAlignment="1" applyProtection="1">
      <alignment vertical="center"/>
    </xf>
    <xf numFmtId="3" fontId="152" fillId="0" borderId="74" xfId="0" applyNumberFormat="1" applyFont="1" applyFill="1" applyBorder="1" applyAlignment="1" applyProtection="1">
      <alignment vertical="center"/>
    </xf>
    <xf numFmtId="2" fontId="152" fillId="32" borderId="13" xfId="0" applyNumberFormat="1" applyFont="1" applyFill="1" applyBorder="1" applyAlignment="1" applyProtection="1">
      <alignment vertical="center"/>
    </xf>
    <xf numFmtId="4" fontId="152" fillId="32" borderId="29" xfId="0" applyNumberFormat="1" applyFont="1" applyFill="1" applyBorder="1" applyAlignment="1" applyProtection="1">
      <alignment vertical="center"/>
    </xf>
    <xf numFmtId="3" fontId="152" fillId="32" borderId="49" xfId="0" applyNumberFormat="1" applyFont="1" applyFill="1" applyBorder="1" applyAlignment="1" applyProtection="1">
      <alignment vertical="center"/>
    </xf>
    <xf numFmtId="3" fontId="152" fillId="32" borderId="73" xfId="0" applyNumberFormat="1" applyFont="1" applyFill="1" applyBorder="1" applyAlignment="1" applyProtection="1">
      <alignment vertical="center"/>
    </xf>
    <xf numFmtId="3" fontId="152" fillId="26" borderId="42" xfId="0" applyNumberFormat="1" applyFont="1" applyFill="1" applyBorder="1" applyAlignment="1" applyProtection="1">
      <alignment vertical="center"/>
    </xf>
    <xf numFmtId="3" fontId="152" fillId="29" borderId="10" xfId="0" applyNumberFormat="1" applyFont="1" applyFill="1" applyBorder="1" applyAlignment="1" applyProtection="1">
      <alignment vertical="center"/>
    </xf>
    <xf numFmtId="218" fontId="152" fillId="29" borderId="10" xfId="0" applyNumberFormat="1" applyFont="1" applyFill="1" applyBorder="1" applyAlignment="1" applyProtection="1">
      <alignment vertical="center"/>
    </xf>
    <xf numFmtId="218" fontId="152" fillId="29" borderId="105" xfId="0" applyNumberFormat="1" applyFont="1" applyFill="1" applyBorder="1" applyAlignment="1" applyProtection="1">
      <alignment vertical="center"/>
    </xf>
    <xf numFmtId="2" fontId="152" fillId="0" borderId="17" xfId="0" applyNumberFormat="1" applyFont="1" applyFill="1" applyBorder="1" applyAlignment="1" applyProtection="1">
      <alignment horizontal="right" vertical="center"/>
    </xf>
    <xf numFmtId="3" fontId="152" fillId="0" borderId="42" xfId="0" applyNumberFormat="1" applyFont="1" applyFill="1" applyBorder="1" applyAlignment="1" applyProtection="1">
      <alignment vertical="center"/>
    </xf>
    <xf numFmtId="198" fontId="96" fillId="35" borderId="14" xfId="0" applyNumberFormat="1" applyFont="1" applyFill="1" applyBorder="1" applyAlignment="1"/>
    <xf numFmtId="218" fontId="96" fillId="26" borderId="14" xfId="0" applyNumberFormat="1" applyFont="1" applyFill="1" applyBorder="1" applyAlignment="1"/>
    <xf numFmtId="0" fontId="152" fillId="0" borderId="51" xfId="0" applyFont="1" applyFill="1" applyBorder="1" applyAlignment="1" applyProtection="1">
      <alignment vertical="center"/>
    </xf>
    <xf numFmtId="3" fontId="152" fillId="0" borderId="50" xfId="0" applyNumberFormat="1" applyFont="1" applyFill="1" applyBorder="1" applyAlignment="1" applyProtection="1">
      <alignment vertical="center"/>
    </xf>
    <xf numFmtId="3" fontId="152" fillId="26" borderId="50" xfId="0" applyNumberFormat="1" applyFont="1" applyFill="1" applyBorder="1" applyAlignment="1" applyProtection="1">
      <alignment vertical="center"/>
    </xf>
    <xf numFmtId="0" fontId="152" fillId="26" borderId="39" xfId="0" applyFont="1" applyFill="1" applyBorder="1" applyProtection="1">
      <protection locked="0"/>
    </xf>
    <xf numFmtId="0" fontId="125" fillId="26" borderId="40" xfId="0" applyFont="1" applyFill="1" applyBorder="1" applyAlignment="1">
      <alignment horizontal="right"/>
    </xf>
    <xf numFmtId="198" fontId="96" fillId="35" borderId="51" xfId="0" applyNumberFormat="1" applyFont="1" applyFill="1" applyBorder="1" applyAlignment="1"/>
    <xf numFmtId="4" fontId="153" fillId="0" borderId="33" xfId="0" applyNumberFormat="1" applyFont="1" applyFill="1" applyBorder="1" applyAlignment="1" applyProtection="1">
      <alignment vertical="center"/>
    </xf>
    <xf numFmtId="3" fontId="153" fillId="0" borderId="33" xfId="0" applyNumberFormat="1" applyFont="1" applyFill="1" applyBorder="1" applyAlignment="1" applyProtection="1">
      <alignment vertical="center"/>
    </xf>
    <xf numFmtId="3" fontId="153" fillId="0" borderId="90" xfId="0" applyNumberFormat="1" applyFont="1" applyFill="1" applyBorder="1" applyAlignment="1" applyProtection="1">
      <alignment vertical="center"/>
    </xf>
    <xf numFmtId="0" fontId="152" fillId="26" borderId="71" xfId="0" applyFont="1" applyFill="1" applyBorder="1" applyAlignment="1" applyProtection="1">
      <alignment vertical="center"/>
    </xf>
    <xf numFmtId="0" fontId="152" fillId="26" borderId="35" xfId="0" applyFont="1" applyFill="1" applyBorder="1" applyProtection="1">
      <protection locked="0"/>
    </xf>
    <xf numFmtId="0" fontId="152" fillId="26" borderId="36" xfId="0" applyFont="1" applyFill="1" applyBorder="1" applyProtection="1">
      <protection locked="0"/>
    </xf>
    <xf numFmtId="0" fontId="152" fillId="0" borderId="36" xfId="0" applyFont="1" applyFill="1" applyBorder="1" applyProtection="1">
      <protection locked="0"/>
    </xf>
    <xf numFmtId="0" fontId="152" fillId="26" borderId="52" xfId="0" applyFont="1" applyFill="1" applyBorder="1" applyProtection="1">
      <protection locked="0"/>
    </xf>
    <xf numFmtId="0" fontId="154" fillId="33" borderId="106" xfId="0" applyFont="1" applyFill="1" applyBorder="1" applyAlignment="1" applyProtection="1">
      <alignment vertical="center"/>
    </xf>
    <xf numFmtId="0" fontId="153" fillId="33" borderId="33" xfId="0" applyFont="1" applyFill="1" applyBorder="1" applyAlignment="1" applyProtection="1">
      <alignment horizontal="center" vertical="center"/>
    </xf>
    <xf numFmtId="0" fontId="125" fillId="33" borderId="59" xfId="0" applyFont="1" applyFill="1" applyBorder="1" applyAlignment="1">
      <alignment horizontal="center" vertical="center"/>
    </xf>
    <xf numFmtId="212" fontId="166" fillId="26" borderId="33" xfId="0" applyNumberFormat="1" applyFont="1" applyFill="1" applyBorder="1" applyAlignment="1">
      <alignment horizontal="center" vertical="center" wrapText="1"/>
    </xf>
    <xf numFmtId="0" fontId="125" fillId="33" borderId="33" xfId="0" applyFont="1" applyFill="1" applyBorder="1" applyAlignment="1">
      <alignment horizontal="center" vertical="center" wrapText="1"/>
    </xf>
    <xf numFmtId="0" fontId="178" fillId="26" borderId="36" xfId="0" applyFont="1" applyFill="1" applyBorder="1" applyAlignment="1">
      <alignment horizontal="center" vertical="center" wrapText="1"/>
    </xf>
    <xf numFmtId="0" fontId="96" fillId="26" borderId="87" xfId="0" applyFont="1" applyFill="1" applyBorder="1" applyAlignment="1">
      <alignment vertical="center"/>
    </xf>
    <xf numFmtId="0" fontId="156" fillId="26" borderId="0" xfId="0" applyFont="1" applyFill="1" applyBorder="1" applyAlignment="1" applyProtection="1">
      <alignment horizontal="centerContinuous" vertical="center" wrapText="1"/>
    </xf>
    <xf numFmtId="0" fontId="152" fillId="26" borderId="37" xfId="0" applyFont="1" applyFill="1" applyBorder="1" applyProtection="1">
      <protection locked="0"/>
    </xf>
    <xf numFmtId="0" fontId="152" fillId="26" borderId="0" xfId="0" applyFont="1" applyFill="1" applyBorder="1" applyProtection="1">
      <protection locked="0"/>
    </xf>
    <xf numFmtId="10" fontId="153" fillId="32" borderId="0" xfId="0" applyNumberFormat="1" applyFont="1" applyFill="1" applyBorder="1" applyAlignment="1" applyProtection="1">
      <alignment horizontal="center" vertical="center"/>
      <protection locked="0"/>
    </xf>
    <xf numFmtId="0" fontId="152" fillId="0" borderId="67" xfId="0" applyFont="1" applyFill="1" applyBorder="1" applyAlignment="1" applyProtection="1">
      <alignment vertical="center"/>
    </xf>
    <xf numFmtId="2" fontId="152" fillId="0" borderId="77" xfId="0" applyNumberFormat="1" applyFont="1" applyFill="1" applyBorder="1" applyAlignment="1" applyProtection="1">
      <alignment vertical="center"/>
    </xf>
    <xf numFmtId="4" fontId="152" fillId="0" borderId="26" xfId="41" applyNumberFormat="1" applyFont="1" applyFill="1" applyBorder="1" applyAlignment="1" applyProtection="1">
      <alignment horizontal="right" vertical="center"/>
    </xf>
    <xf numFmtId="0" fontId="96" fillId="26" borderId="0" xfId="0" applyFont="1" applyFill="1" applyBorder="1" applyAlignment="1">
      <alignment vertical="center"/>
    </xf>
    <xf numFmtId="4" fontId="152" fillId="37" borderId="26" xfId="41" applyNumberFormat="1" applyFont="1" applyFill="1" applyBorder="1" applyAlignment="1" applyProtection="1">
      <alignment horizontal="right" vertical="center"/>
      <protection locked="0"/>
    </xf>
    <xf numFmtId="3" fontId="152" fillId="26" borderId="35" xfId="0" applyNumberFormat="1" applyFont="1" applyFill="1" applyBorder="1" applyAlignment="1" applyProtection="1">
      <alignment vertical="center"/>
    </xf>
    <xf numFmtId="10" fontId="152" fillId="37" borderId="60" xfId="0" applyNumberFormat="1" applyFont="1" applyFill="1" applyBorder="1" applyAlignment="1" applyProtection="1">
      <alignment vertical="center"/>
      <protection locked="0"/>
    </xf>
    <xf numFmtId="0" fontId="152" fillId="0" borderId="15" xfId="0" applyFont="1" applyFill="1" applyBorder="1" applyAlignment="1" applyProtection="1">
      <alignment vertical="center"/>
    </xf>
    <xf numFmtId="177" fontId="152" fillId="0" borderId="13" xfId="41" applyNumberFormat="1" applyFont="1" applyFill="1" applyBorder="1" applyAlignment="1" applyProtection="1">
      <alignment vertical="center"/>
    </xf>
    <xf numFmtId="211" fontId="152" fillId="40" borderId="0" xfId="41" applyNumberFormat="1" applyFont="1" applyFill="1" applyBorder="1" applyAlignment="1" applyProtection="1">
      <alignment vertical="center"/>
    </xf>
    <xf numFmtId="4" fontId="152" fillId="0" borderId="29" xfId="41" applyNumberFormat="1" applyFont="1" applyFill="1" applyBorder="1" applyAlignment="1" applyProtection="1">
      <alignment horizontal="right" vertical="center"/>
    </xf>
    <xf numFmtId="212" fontId="179" fillId="37" borderId="33" xfId="32" applyNumberFormat="1" applyFont="1" applyFill="1" applyBorder="1" applyAlignment="1" applyProtection="1">
      <alignment horizontal="center" vertical="center"/>
    </xf>
    <xf numFmtId="9" fontId="91" fillId="35" borderId="33" xfId="0" applyNumberFormat="1" applyFont="1" applyFill="1" applyBorder="1" applyAlignment="1" applyProtection="1">
      <alignment horizontal="center" vertical="center"/>
    </xf>
    <xf numFmtId="3" fontId="152" fillId="37" borderId="49" xfId="0" applyNumberFormat="1" applyFont="1" applyFill="1" applyBorder="1" applyAlignment="1" applyProtection="1">
      <alignment vertical="center"/>
      <protection locked="0"/>
    </xf>
    <xf numFmtId="3" fontId="152" fillId="32" borderId="72" xfId="0" applyNumberFormat="1" applyFont="1" applyFill="1" applyBorder="1" applyAlignment="1" applyProtection="1">
      <alignment vertical="center"/>
    </xf>
    <xf numFmtId="6" fontId="152" fillId="35" borderId="13" xfId="0" applyNumberFormat="1" applyFont="1" applyFill="1" applyBorder="1" applyAlignment="1" applyProtection="1">
      <alignment horizontal="center"/>
      <protection locked="0"/>
    </xf>
    <xf numFmtId="6" fontId="152" fillId="0" borderId="13" xfId="0" applyNumberFormat="1" applyFont="1" applyFill="1" applyBorder="1" applyAlignment="1" applyProtection="1">
      <alignment horizontal="center"/>
      <protection locked="0"/>
    </xf>
    <xf numFmtId="10" fontId="152" fillId="37" borderId="29" xfId="0" applyNumberFormat="1" applyFont="1" applyFill="1" applyBorder="1" applyAlignment="1" applyProtection="1">
      <alignment vertical="center"/>
      <protection locked="0"/>
    </xf>
    <xf numFmtId="2" fontId="152" fillId="0" borderId="12" xfId="0" applyNumberFormat="1" applyFont="1" applyFill="1" applyBorder="1" applyAlignment="1" applyProtection="1">
      <alignment vertical="center"/>
    </xf>
    <xf numFmtId="4" fontId="152" fillId="37" borderId="29" xfId="41" applyNumberFormat="1" applyFont="1" applyFill="1" applyBorder="1" applyAlignment="1" applyProtection="1">
      <alignment horizontal="right" vertical="center"/>
      <protection locked="0"/>
    </xf>
    <xf numFmtId="3" fontId="152" fillId="0" borderId="72" xfId="0" applyNumberFormat="1" applyFont="1" applyFill="1" applyBorder="1" applyAlignment="1" applyProtection="1">
      <alignment vertical="center"/>
    </xf>
    <xf numFmtId="0" fontId="91" fillId="0" borderId="13" xfId="0" applyFont="1" applyFill="1" applyBorder="1" applyAlignment="1" applyProtection="1">
      <alignment vertical="center"/>
    </xf>
    <xf numFmtId="200" fontId="152" fillId="40" borderId="12" xfId="0" applyNumberFormat="1" applyFont="1" applyFill="1" applyBorder="1" applyAlignment="1" applyProtection="1">
      <alignment vertical="center"/>
    </xf>
    <xf numFmtId="9" fontId="152" fillId="26" borderId="0" xfId="41" applyFont="1" applyFill="1" applyBorder="1" applyAlignment="1" applyProtection="1">
      <alignment vertical="center"/>
    </xf>
    <xf numFmtId="201" fontId="152" fillId="26" borderId="0" xfId="41" applyNumberFormat="1" applyFont="1" applyFill="1" applyBorder="1" applyAlignment="1" applyProtection="1">
      <alignment vertical="center"/>
    </xf>
    <xf numFmtId="3" fontId="152" fillId="0" borderId="79" xfId="0" applyNumberFormat="1" applyFont="1" applyFill="1" applyBorder="1" applyAlignment="1" applyProtection="1">
      <alignment vertical="center"/>
    </xf>
    <xf numFmtId="211" fontId="152" fillId="40" borderId="12" xfId="0" applyNumberFormat="1" applyFont="1" applyFill="1" applyBorder="1" applyAlignment="1" applyProtection="1">
      <alignment vertical="center"/>
    </xf>
    <xf numFmtId="2" fontId="152" fillId="0" borderId="29" xfId="41" applyNumberFormat="1" applyFont="1" applyFill="1" applyBorder="1" applyAlignment="1" applyProtection="1">
      <alignment horizontal="right" vertical="center"/>
    </xf>
    <xf numFmtId="9" fontId="170" fillId="35" borderId="33" xfId="0" applyNumberFormat="1" applyFont="1" applyFill="1" applyBorder="1" applyAlignment="1" applyProtection="1">
      <alignment horizontal="center" vertical="center"/>
    </xf>
    <xf numFmtId="3" fontId="152" fillId="26" borderId="72" xfId="0" applyNumberFormat="1" applyFont="1" applyFill="1" applyBorder="1" applyAlignment="1" applyProtection="1">
      <alignment vertical="center"/>
    </xf>
    <xf numFmtId="211" fontId="152" fillId="40" borderId="0" xfId="0" applyNumberFormat="1" applyFont="1" applyFill="1" applyBorder="1" applyAlignment="1" applyProtection="1">
      <alignment vertical="center"/>
    </xf>
    <xf numFmtId="174" fontId="152" fillId="0" borderId="12" xfId="0" applyNumberFormat="1" applyFont="1" applyFill="1" applyBorder="1" applyAlignment="1" applyProtection="1">
      <alignment horizontal="right" vertical="center"/>
    </xf>
    <xf numFmtId="3" fontId="152" fillId="29" borderId="105" xfId="0" applyNumberFormat="1" applyFont="1" applyFill="1" applyBorder="1" applyAlignment="1" applyProtection="1">
      <alignment vertical="center"/>
    </xf>
    <xf numFmtId="0" fontId="153" fillId="26" borderId="0" xfId="0" applyFont="1" applyFill="1" applyBorder="1" applyAlignment="1" applyProtection="1">
      <alignment horizontal="right"/>
      <protection locked="0"/>
    </xf>
    <xf numFmtId="0" fontId="152" fillId="0" borderId="43" xfId="0" applyFont="1" applyFill="1" applyBorder="1" applyAlignment="1" applyProtection="1">
      <alignment vertical="center"/>
    </xf>
    <xf numFmtId="174" fontId="152" fillId="0" borderId="13" xfId="0" applyNumberFormat="1" applyFont="1" applyFill="1" applyBorder="1" applyAlignment="1" applyProtection="1">
      <alignment horizontal="right" vertical="center"/>
    </xf>
    <xf numFmtId="10" fontId="152" fillId="37" borderId="58" xfId="0" applyNumberFormat="1" applyFont="1" applyFill="1" applyBorder="1" applyAlignment="1" applyProtection="1">
      <alignment vertical="center"/>
      <protection locked="0"/>
    </xf>
    <xf numFmtId="0" fontId="152" fillId="0" borderId="86" xfId="0" applyFont="1" applyFill="1" applyBorder="1" applyAlignment="1" applyProtection="1">
      <alignment vertical="center"/>
    </xf>
    <xf numFmtId="0" fontId="152" fillId="0" borderId="40" xfId="0" applyFont="1" applyFill="1" applyBorder="1" applyAlignment="1" applyProtection="1">
      <alignment vertical="center"/>
    </xf>
    <xf numFmtId="4" fontId="152" fillId="0" borderId="32" xfId="41" applyNumberFormat="1" applyFont="1" applyFill="1" applyBorder="1" applyAlignment="1" applyProtection="1">
      <alignment horizontal="right" vertical="center"/>
    </xf>
    <xf numFmtId="4" fontId="152" fillId="37" borderId="32" xfId="41" applyNumberFormat="1" applyFont="1" applyFill="1" applyBorder="1" applyAlignment="1" applyProtection="1">
      <alignment horizontal="right" vertical="center"/>
      <protection locked="0"/>
    </xf>
    <xf numFmtId="3" fontId="152" fillId="35" borderId="50" xfId="0" applyNumberFormat="1" applyFont="1" applyFill="1" applyBorder="1" applyAlignment="1" applyProtection="1">
      <alignment vertical="center"/>
      <protection locked="0"/>
    </xf>
    <xf numFmtId="219" fontId="91" fillId="35" borderId="51" xfId="0" applyNumberFormat="1" applyFont="1" applyFill="1" applyBorder="1" applyAlignment="1" applyProtection="1">
      <alignment horizontal="center"/>
      <protection locked="0"/>
    </xf>
    <xf numFmtId="183" fontId="91" fillId="0" borderId="51" xfId="0" applyNumberFormat="1" applyFont="1" applyFill="1" applyBorder="1" applyAlignment="1" applyProtection="1">
      <alignment horizontal="center"/>
      <protection locked="0"/>
    </xf>
    <xf numFmtId="10" fontId="152" fillId="35" borderId="32" xfId="0" applyNumberFormat="1" applyFont="1" applyFill="1" applyBorder="1" applyAlignment="1" applyProtection="1">
      <alignment vertical="center"/>
      <protection locked="0"/>
    </xf>
    <xf numFmtId="0" fontId="153" fillId="26" borderId="54" xfId="0" applyFont="1" applyFill="1" applyBorder="1" applyAlignment="1" applyProtection="1">
      <alignment vertical="center"/>
    </xf>
    <xf numFmtId="4" fontId="153" fillId="26" borderId="59" xfId="0" applyNumberFormat="1" applyFont="1" applyFill="1" applyBorder="1" applyAlignment="1" applyProtection="1">
      <alignment vertical="center"/>
    </xf>
    <xf numFmtId="9" fontId="153" fillId="26" borderId="40" xfId="41" applyFont="1" applyFill="1" applyBorder="1" applyAlignment="1" applyProtection="1">
      <alignment vertical="center"/>
    </xf>
    <xf numFmtId="0" fontId="153" fillId="26" borderId="116" xfId="0" applyFont="1" applyFill="1" applyBorder="1" applyAlignment="1" applyProtection="1">
      <alignment vertical="center"/>
    </xf>
    <xf numFmtId="4" fontId="153" fillId="26" borderId="0" xfId="0" applyNumberFormat="1" applyFont="1" applyFill="1" applyBorder="1" applyAlignment="1" applyProtection="1">
      <alignment vertical="center"/>
    </xf>
    <xf numFmtId="9" fontId="153" fillId="26" borderId="0" xfId="41" applyFont="1" applyFill="1" applyBorder="1" applyAlignment="1" applyProtection="1">
      <alignment vertical="center"/>
    </xf>
    <xf numFmtId="9" fontId="153" fillId="26" borderId="36" xfId="41" applyFont="1" applyFill="1" applyBorder="1" applyAlignment="1" applyProtection="1">
      <alignment vertical="center"/>
    </xf>
    <xf numFmtId="203" fontId="156" fillId="0" borderId="53" xfId="0" applyNumberFormat="1" applyFont="1" applyFill="1" applyBorder="1" applyAlignment="1" applyProtection="1">
      <alignment horizontal="center" vertical="center"/>
    </xf>
    <xf numFmtId="4" fontId="156" fillId="26" borderId="33" xfId="0" applyNumberFormat="1" applyFont="1" applyFill="1" applyBorder="1" applyAlignment="1" applyProtection="1">
      <alignment horizontal="center" vertical="center"/>
    </xf>
    <xf numFmtId="4" fontId="153" fillId="26" borderId="54" xfId="0" applyNumberFormat="1" applyFont="1" applyFill="1" applyBorder="1" applyAlignment="1" applyProtection="1">
      <alignment vertical="center"/>
    </xf>
    <xf numFmtId="3" fontId="153" fillId="26" borderId="84" xfId="0" applyNumberFormat="1" applyFont="1" applyFill="1" applyBorder="1" applyAlignment="1" applyProtection="1">
      <alignment vertical="center"/>
    </xf>
    <xf numFmtId="0" fontId="125" fillId="32" borderId="0" xfId="0" applyFont="1" applyFill="1" applyBorder="1" applyAlignment="1" applyProtection="1">
      <alignment horizontal="left" vertical="center"/>
    </xf>
    <xf numFmtId="0" fontId="124" fillId="32" borderId="0" xfId="0" applyFont="1" applyFill="1" applyBorder="1" applyAlignment="1" applyProtection="1">
      <alignment vertical="center"/>
    </xf>
    <xf numFmtId="0" fontId="179" fillId="32" borderId="0" xfId="0" applyFont="1" applyFill="1" applyBorder="1" applyAlignment="1" applyProtection="1">
      <alignment horizontal="right" vertical="center"/>
    </xf>
    <xf numFmtId="0" fontId="152" fillId="32" borderId="0" xfId="0" applyFont="1" applyFill="1" applyBorder="1" applyAlignment="1" applyProtection="1">
      <alignment vertical="center"/>
    </xf>
    <xf numFmtId="0" fontId="154" fillId="0" borderId="106" xfId="0" applyFont="1" applyFill="1" applyBorder="1" applyAlignment="1" applyProtection="1">
      <alignment vertical="center"/>
    </xf>
    <xf numFmtId="0" fontId="154" fillId="32" borderId="54" xfId="0" applyFont="1" applyFill="1" applyBorder="1" applyAlignment="1" applyProtection="1">
      <alignment vertical="center"/>
    </xf>
    <xf numFmtId="3" fontId="181" fillId="0" borderId="33" xfId="0" applyNumberFormat="1" applyFont="1" applyFill="1" applyBorder="1" applyAlignment="1" applyProtection="1">
      <alignment vertical="center"/>
    </xf>
    <xf numFmtId="4" fontId="181" fillId="0" borderId="33" xfId="0" applyNumberFormat="1" applyFont="1" applyFill="1" applyBorder="1" applyAlignment="1" applyProtection="1">
      <alignment vertical="center"/>
    </xf>
    <xf numFmtId="3" fontId="181" fillId="0" borderId="90" xfId="0" applyNumberFormat="1" applyFont="1" applyFill="1" applyBorder="1" applyAlignment="1" applyProtection="1">
      <alignment vertical="center"/>
    </xf>
    <xf numFmtId="0" fontId="182" fillId="26" borderId="0" xfId="0" applyFont="1" applyFill="1" applyBorder="1" applyAlignment="1" applyProtection="1">
      <alignment vertical="center"/>
    </xf>
    <xf numFmtId="0" fontId="182" fillId="26" borderId="0" xfId="0" applyFont="1" applyFill="1" applyAlignment="1" applyProtection="1">
      <alignment vertical="center"/>
    </xf>
    <xf numFmtId="1" fontId="179" fillId="32" borderId="0" xfId="0" applyNumberFormat="1" applyFont="1" applyFill="1" applyBorder="1" applyAlignment="1" applyProtection="1">
      <alignment horizontal="right" vertical="center"/>
    </xf>
    <xf numFmtId="0" fontId="157" fillId="32" borderId="0" xfId="0" applyFont="1" applyFill="1" applyBorder="1" applyAlignment="1" applyProtection="1">
      <alignment vertical="center"/>
    </xf>
    <xf numFmtId="0" fontId="157" fillId="26" borderId="0" xfId="0" applyFont="1" applyFill="1" applyBorder="1" applyAlignment="1" applyProtection="1">
      <alignment vertical="center"/>
    </xf>
    <xf numFmtId="0" fontId="157" fillId="0" borderId="0" xfId="0" applyFont="1" applyFill="1" applyBorder="1" applyAlignment="1" applyProtection="1">
      <alignment vertical="center"/>
    </xf>
    <xf numFmtId="0" fontId="154" fillId="26" borderId="115" xfId="0" applyFont="1" applyFill="1" applyBorder="1" applyAlignment="1" applyProtection="1">
      <alignment vertical="center"/>
    </xf>
    <xf numFmtId="203" fontId="91" fillId="26" borderId="0" xfId="41" applyNumberFormat="1" applyFont="1" applyFill="1" applyBorder="1" applyAlignment="1" applyProtection="1">
      <alignment horizontal="center" vertical="center"/>
    </xf>
    <xf numFmtId="3" fontId="156" fillId="26" borderId="36" xfId="0" applyNumberFormat="1" applyFont="1" applyFill="1" applyBorder="1" applyAlignment="1" applyProtection="1">
      <alignment vertical="center"/>
    </xf>
    <xf numFmtId="4" fontId="156" fillId="26" borderId="0" xfId="0" applyNumberFormat="1" applyFont="1" applyFill="1" applyBorder="1" applyAlignment="1" applyProtection="1">
      <alignment vertical="center"/>
    </xf>
    <xf numFmtId="3" fontId="181" fillId="26" borderId="0" xfId="0" applyNumberFormat="1" applyFont="1" applyFill="1" applyBorder="1" applyAlignment="1" applyProtection="1">
      <alignment vertical="center"/>
    </xf>
    <xf numFmtId="3" fontId="181" fillId="26" borderId="44" xfId="0" applyNumberFormat="1" applyFont="1" applyFill="1" applyBorder="1" applyAlignment="1" applyProtection="1">
      <alignment vertical="center"/>
    </xf>
    <xf numFmtId="220" fontId="179" fillId="32" borderId="0" xfId="0" applyNumberFormat="1" applyFont="1" applyFill="1" applyBorder="1" applyAlignment="1" applyProtection="1">
      <alignment horizontal="right" vertical="center"/>
    </xf>
    <xf numFmtId="10" fontId="179" fillId="32" borderId="0" xfId="0" applyNumberFormat="1" applyFont="1" applyFill="1" applyBorder="1" applyAlignment="1" applyProtection="1">
      <alignment vertical="center"/>
    </xf>
    <xf numFmtId="2" fontId="181" fillId="0" borderId="33" xfId="0" applyNumberFormat="1" applyFont="1" applyFill="1" applyBorder="1" applyAlignment="1" applyProtection="1">
      <alignment horizontal="center" vertical="center"/>
    </xf>
    <xf numFmtId="3" fontId="181" fillId="26" borderId="53" xfId="0" applyNumberFormat="1" applyFont="1" applyFill="1" applyBorder="1" applyAlignment="1" applyProtection="1">
      <alignment vertical="center"/>
    </xf>
    <xf numFmtId="3" fontId="162" fillId="26" borderId="54" xfId="0" applyNumberFormat="1" applyFont="1" applyFill="1" applyBorder="1" applyAlignment="1" applyProtection="1">
      <alignment horizontal="left" vertical="center"/>
    </xf>
    <xf numFmtId="3" fontId="153" fillId="26" borderId="59" xfId="0" applyNumberFormat="1" applyFont="1" applyFill="1" applyBorder="1" applyAlignment="1" applyProtection="1">
      <alignment vertical="center"/>
    </xf>
    <xf numFmtId="4" fontId="151" fillId="26" borderId="90" xfId="0" applyNumberFormat="1" applyFont="1" applyFill="1" applyBorder="1" applyAlignment="1" applyProtection="1">
      <alignment horizontal="center" vertical="center"/>
    </xf>
    <xf numFmtId="0" fontId="179" fillId="32" borderId="0" xfId="0" applyFont="1" applyFill="1" applyBorder="1" applyAlignment="1" applyProtection="1">
      <alignment vertical="center"/>
    </xf>
    <xf numFmtId="3" fontId="184" fillId="26" borderId="0" xfId="0" applyNumberFormat="1" applyFont="1" applyFill="1" applyBorder="1" applyAlignment="1" applyProtection="1">
      <alignment horizontal="left" vertical="center"/>
    </xf>
    <xf numFmtId="3" fontId="185" fillId="26" borderId="0" xfId="0" applyNumberFormat="1" applyFont="1" applyFill="1" applyBorder="1" applyAlignment="1" applyProtection="1">
      <alignment vertical="center"/>
    </xf>
    <xf numFmtId="4" fontId="186" fillId="26" borderId="44" xfId="0" applyNumberFormat="1" applyFont="1" applyFill="1" applyBorder="1" applyAlignment="1" applyProtection="1">
      <alignment horizontal="center" vertical="center"/>
    </xf>
    <xf numFmtId="0" fontId="183" fillId="32" borderId="0" xfId="0" applyNumberFormat="1" applyFont="1" applyFill="1" applyBorder="1" applyAlignment="1" applyProtection="1">
      <alignment vertical="center"/>
    </xf>
    <xf numFmtId="3" fontId="152" fillId="26" borderId="68" xfId="38" applyNumberFormat="1" applyFont="1" applyFill="1" applyBorder="1" applyAlignment="1" applyProtection="1">
      <alignment horizontal="right" vertical="center" wrapText="1"/>
    </xf>
    <xf numFmtId="3" fontId="152" fillId="26" borderId="0" xfId="38" applyNumberFormat="1" applyFont="1" applyFill="1" applyBorder="1" applyAlignment="1" applyProtection="1">
      <alignment horizontal="right" vertical="center" wrapText="1"/>
    </xf>
    <xf numFmtId="0" fontId="153" fillId="26" borderId="0" xfId="0" applyFont="1" applyFill="1" applyBorder="1" applyAlignment="1" applyProtection="1">
      <alignment horizontal="centerContinuous" vertical="center"/>
    </xf>
    <xf numFmtId="0" fontId="151" fillId="37" borderId="90" xfId="0" applyFont="1" applyFill="1" applyBorder="1" applyAlignment="1" applyProtection="1">
      <alignment horizontal="center" vertical="center"/>
    </xf>
    <xf numFmtId="0" fontId="151" fillId="37" borderId="84" xfId="0" applyFont="1" applyFill="1" applyBorder="1" applyAlignment="1" applyProtection="1">
      <alignment horizontal="center" vertical="center"/>
    </xf>
    <xf numFmtId="3" fontId="151" fillId="37" borderId="84" xfId="38" applyNumberFormat="1" applyFont="1" applyFill="1" applyBorder="1" applyAlignment="1" applyProtection="1">
      <alignment horizontal="center" vertical="center" wrapText="1"/>
    </xf>
    <xf numFmtId="3" fontId="151" fillId="37" borderId="59" xfId="38" applyNumberFormat="1" applyFont="1" applyFill="1" applyBorder="1" applyAlignment="1" applyProtection="1">
      <alignment horizontal="center" vertical="center" wrapText="1"/>
    </xf>
    <xf numFmtId="3" fontId="152" fillId="26" borderId="36" xfId="38" applyNumberFormat="1" applyFont="1" applyFill="1" applyBorder="1" applyAlignment="1" applyProtection="1">
      <alignment horizontal="right" vertical="center" wrapText="1"/>
    </xf>
    <xf numFmtId="3" fontId="152" fillId="26" borderId="36" xfId="0" applyNumberFormat="1" applyFont="1" applyFill="1" applyBorder="1" applyAlignment="1" applyProtection="1">
      <alignment horizontal="center" vertical="center"/>
    </xf>
    <xf numFmtId="3" fontId="153" fillId="26" borderId="87" xfId="38" applyNumberFormat="1" applyFont="1" applyFill="1" applyBorder="1" applyAlignment="1" applyProtection="1">
      <alignment horizontal="right" vertical="center" wrapText="1"/>
    </xf>
    <xf numFmtId="0" fontId="153" fillId="26" borderId="67" xfId="0" applyFont="1" applyFill="1" applyBorder="1" applyAlignment="1" applyProtection="1">
      <alignment vertical="center"/>
    </xf>
    <xf numFmtId="225" fontId="187" fillId="26" borderId="48" xfId="0" applyNumberFormat="1" applyFont="1" applyFill="1" applyBorder="1" applyAlignment="1" applyProtection="1">
      <alignment horizontal="center" vertical="center" wrapText="1"/>
    </xf>
    <xf numFmtId="0" fontId="188" fillId="26" borderId="26" xfId="0" applyFont="1" applyFill="1" applyBorder="1" applyAlignment="1" applyProtection="1">
      <alignment horizontal="center" vertical="center"/>
    </xf>
    <xf numFmtId="0" fontId="130" fillId="32" borderId="0" xfId="0" applyFont="1" applyFill="1" applyBorder="1" applyAlignment="1" applyProtection="1">
      <alignment horizontal="center" vertical="center" wrapText="1"/>
    </xf>
    <xf numFmtId="0" fontId="130" fillId="32" borderId="0" xfId="0" applyFont="1" applyFill="1" applyBorder="1" applyAlignment="1" applyProtection="1">
      <alignment horizontal="right" vertical="center"/>
    </xf>
    <xf numFmtId="0" fontId="152" fillId="26" borderId="44" xfId="0" applyFont="1" applyFill="1" applyBorder="1" applyAlignment="1" applyProtection="1">
      <alignment vertical="center"/>
    </xf>
    <xf numFmtId="0" fontId="153" fillId="26" borderId="0" xfId="0" applyFont="1" applyFill="1" applyBorder="1" applyAlignment="1" applyProtection="1">
      <alignment horizontal="center" vertical="center"/>
    </xf>
    <xf numFmtId="0" fontId="152" fillId="26" borderId="109" xfId="0" applyFont="1" applyFill="1" applyBorder="1" applyAlignment="1" applyProtection="1">
      <alignment vertical="center"/>
    </xf>
    <xf numFmtId="228" fontId="96" fillId="26" borderId="51" xfId="0" applyNumberFormat="1" applyFont="1" applyFill="1" applyBorder="1" applyAlignment="1" applyProtection="1">
      <alignment horizontal="center" vertical="center"/>
    </xf>
    <xf numFmtId="190" fontId="164" fillId="26" borderId="32" xfId="38" applyNumberFormat="1" applyFont="1" applyFill="1" applyBorder="1" applyAlignment="1" applyProtection="1">
      <alignment horizontal="center" vertical="center" wrapText="1"/>
    </xf>
    <xf numFmtId="228" fontId="189" fillId="32" borderId="0" xfId="38" applyNumberFormat="1" applyFont="1" applyFill="1" applyBorder="1" applyAlignment="1" applyProtection="1">
      <alignment horizontal="center" vertical="center"/>
    </xf>
    <xf numFmtId="198" fontId="189" fillId="32" borderId="0" xfId="38" applyNumberFormat="1" applyFont="1" applyFill="1" applyBorder="1" applyAlignment="1" applyProtection="1">
      <alignment horizontal="right" vertical="center"/>
    </xf>
    <xf numFmtId="0" fontId="153" fillId="26" borderId="44" xfId="0" applyFont="1" applyFill="1" applyBorder="1" applyAlignment="1" applyProtection="1">
      <alignment vertical="center"/>
    </xf>
    <xf numFmtId="4" fontId="153" fillId="26" borderId="0" xfId="38" applyNumberFormat="1" applyFont="1" applyFill="1" applyBorder="1" applyAlignment="1" applyProtection="1">
      <alignment horizontal="right" vertical="center" wrapText="1"/>
    </xf>
    <xf numFmtId="0" fontId="153" fillId="26" borderId="115" xfId="0" applyFont="1" applyFill="1" applyBorder="1" applyAlignment="1" applyProtection="1">
      <alignment vertical="center"/>
    </xf>
    <xf numFmtId="190" fontId="125" fillId="26" borderId="0" xfId="0" applyNumberFormat="1" applyFont="1" applyFill="1" applyBorder="1" applyAlignment="1" applyProtection="1">
      <alignment horizontal="center" vertical="center"/>
    </xf>
    <xf numFmtId="191" fontId="91" fillId="26" borderId="0" xfId="38" applyNumberFormat="1" applyFont="1" applyFill="1" applyBorder="1" applyAlignment="1" applyProtection="1">
      <alignment horizontal="right" vertical="center"/>
    </xf>
    <xf numFmtId="0" fontId="187" fillId="26" borderId="0" xfId="0" applyFont="1" applyFill="1" applyBorder="1" applyAlignment="1" applyProtection="1">
      <alignment vertical="center"/>
    </xf>
    <xf numFmtId="3" fontId="153" fillId="26" borderId="0" xfId="38" applyNumberFormat="1" applyFont="1" applyFill="1" applyBorder="1" applyAlignment="1" applyProtection="1">
      <alignment horizontal="right" vertical="center" wrapText="1"/>
    </xf>
    <xf numFmtId="0" fontId="96" fillId="32" borderId="0" xfId="0" applyFont="1" applyFill="1" applyBorder="1" applyAlignment="1" applyProtection="1">
      <alignment vertical="center"/>
    </xf>
    <xf numFmtId="0" fontId="177" fillId="26" borderId="0" xfId="0" applyFont="1" applyFill="1" applyBorder="1" applyAlignment="1" applyProtection="1">
      <alignment horizontal="center" vertical="center"/>
    </xf>
    <xf numFmtId="191" fontId="152" fillId="26" borderId="0" xfId="38" applyNumberFormat="1" applyFont="1" applyFill="1" applyBorder="1" applyAlignment="1" applyProtection="1">
      <alignment horizontal="centerContinuous" vertical="center"/>
    </xf>
    <xf numFmtId="0" fontId="153" fillId="32" borderId="33" xfId="0" applyNumberFormat="1" applyFont="1" applyFill="1" applyBorder="1" applyAlignment="1" applyProtection="1">
      <alignment horizontal="center" vertical="center"/>
    </xf>
    <xf numFmtId="0" fontId="96" fillId="26" borderId="40" xfId="0" applyFont="1" applyFill="1" applyBorder="1" applyAlignment="1" applyProtection="1">
      <alignment vertical="center"/>
    </xf>
    <xf numFmtId="3" fontId="152" fillId="26" borderId="36" xfId="0" applyNumberFormat="1" applyFont="1" applyFill="1" applyBorder="1" applyAlignment="1" applyProtection="1">
      <alignment vertical="center"/>
    </xf>
    <xf numFmtId="4" fontId="152" fillId="26" borderId="36" xfId="0" applyNumberFormat="1" applyFont="1" applyFill="1" applyBorder="1" applyAlignment="1" applyProtection="1">
      <alignment vertical="center"/>
    </xf>
    <xf numFmtId="0" fontId="153" fillId="26" borderId="63" xfId="0" applyFont="1" applyFill="1" applyBorder="1" applyAlignment="1" applyProtection="1">
      <alignment horizontal="center" vertical="center"/>
    </xf>
    <xf numFmtId="0" fontId="153" fillId="26" borderId="0" xfId="0" applyFont="1" applyFill="1" applyBorder="1" applyAlignment="1" applyProtection="1">
      <alignment horizontal="right" vertical="center"/>
    </xf>
    <xf numFmtId="4" fontId="151" fillId="40" borderId="25" xfId="0" applyNumberFormat="1" applyFont="1" applyFill="1" applyBorder="1" applyAlignment="1" applyProtection="1">
      <alignment vertical="center"/>
    </xf>
    <xf numFmtId="4" fontId="151" fillId="40" borderId="77" xfId="0" applyNumberFormat="1" applyFont="1" applyFill="1" applyBorder="1" applyAlignment="1" applyProtection="1">
      <alignment vertical="center"/>
    </xf>
    <xf numFmtId="4" fontId="151" fillId="40" borderId="48" xfId="0" applyNumberFormat="1" applyFont="1" applyFill="1" applyBorder="1" applyAlignment="1" applyProtection="1">
      <alignment vertical="center"/>
    </xf>
    <xf numFmtId="4" fontId="151" fillId="40" borderId="26" xfId="0" applyNumberFormat="1" applyFont="1" applyFill="1" applyBorder="1" applyAlignment="1" applyProtection="1">
      <alignment vertical="center"/>
    </xf>
    <xf numFmtId="204" fontId="191" fillId="26" borderId="70" xfId="41" applyNumberFormat="1" applyFont="1" applyFill="1" applyBorder="1" applyAlignment="1" applyProtection="1">
      <alignment horizontal="right" vertical="center"/>
    </xf>
    <xf numFmtId="204" fontId="151" fillId="26" borderId="0" xfId="41" applyNumberFormat="1" applyFont="1" applyFill="1" applyBorder="1" applyAlignment="1" applyProtection="1">
      <alignment horizontal="right" vertical="center"/>
    </xf>
    <xf numFmtId="0" fontId="153" fillId="26" borderId="86" xfId="0" applyFont="1" applyFill="1" applyBorder="1" applyAlignment="1" applyProtection="1">
      <alignment vertical="center"/>
    </xf>
    <xf numFmtId="4" fontId="151" fillId="40" borderId="50" xfId="0" applyNumberFormat="1" applyFont="1" applyFill="1" applyBorder="1" applyAlignment="1" applyProtection="1">
      <alignment vertical="center"/>
    </xf>
    <xf numFmtId="4" fontId="151" fillId="40" borderId="68" xfId="0" applyNumberFormat="1" applyFont="1" applyFill="1" applyBorder="1" applyAlignment="1" applyProtection="1">
      <alignment vertical="center"/>
    </xf>
    <xf numFmtId="4" fontId="151" fillId="40" borderId="51" xfId="0" applyNumberFormat="1" applyFont="1" applyFill="1" applyBorder="1" applyAlignment="1" applyProtection="1">
      <alignment vertical="center"/>
    </xf>
    <xf numFmtId="4" fontId="151" fillId="40" borderId="32" xfId="0" applyNumberFormat="1" applyFont="1" applyFill="1" applyBorder="1" applyAlignment="1" applyProtection="1">
      <alignment vertical="center"/>
    </xf>
    <xf numFmtId="204" fontId="191" fillId="26" borderId="76" xfId="41" applyNumberFormat="1" applyFont="1" applyFill="1" applyBorder="1" applyAlignment="1" applyProtection="1">
      <alignment horizontal="right" vertical="center"/>
    </xf>
    <xf numFmtId="0" fontId="193" fillId="26" borderId="0" xfId="0" applyFont="1" applyFill="1" applyBorder="1" applyAlignment="1" applyProtection="1">
      <alignment vertical="center"/>
    </xf>
    <xf numFmtId="10" fontId="157" fillId="26" borderId="0" xfId="41" applyNumberFormat="1" applyFont="1" applyFill="1" applyBorder="1" applyAlignment="1" applyProtection="1">
      <alignment vertical="center"/>
    </xf>
    <xf numFmtId="0" fontId="153" fillId="26" borderId="109" xfId="0" applyFont="1" applyFill="1" applyBorder="1" applyAlignment="1" applyProtection="1">
      <alignment vertical="center"/>
    </xf>
    <xf numFmtId="2" fontId="151" fillId="26" borderId="90" xfId="0" applyNumberFormat="1" applyFont="1" applyFill="1" applyBorder="1" applyAlignment="1" applyProtection="1">
      <alignment vertical="center"/>
    </xf>
    <xf numFmtId="4" fontId="181" fillId="26" borderId="117" xfId="0" applyNumberFormat="1" applyFont="1" applyFill="1" applyBorder="1" applyAlignment="1" applyProtection="1">
      <alignment vertical="center"/>
    </xf>
    <xf numFmtId="4" fontId="181" fillId="26" borderId="65" xfId="0" applyNumberFormat="1" applyFont="1" applyFill="1" applyBorder="1" applyAlignment="1" applyProtection="1">
      <alignment vertical="center"/>
    </xf>
    <xf numFmtId="4" fontId="181" fillId="26" borderId="83" xfId="0" applyNumberFormat="1" applyFont="1" applyFill="1" applyBorder="1" applyAlignment="1" applyProtection="1">
      <alignment vertical="center"/>
    </xf>
    <xf numFmtId="0" fontId="91" fillId="26" borderId="41" xfId="0" applyFont="1" applyFill="1" applyBorder="1" applyAlignment="1" applyProtection="1">
      <alignment horizontal="center" vertical="center"/>
    </xf>
    <xf numFmtId="204" fontId="151" fillId="26" borderId="25" xfId="41" applyNumberFormat="1" applyFont="1" applyFill="1" applyBorder="1" applyAlignment="1" applyProtection="1">
      <alignment horizontal="left" vertical="center"/>
    </xf>
    <xf numFmtId="191" fontId="151" fillId="26" borderId="77" xfId="41" applyNumberFormat="1" applyFont="1" applyFill="1" applyBorder="1" applyAlignment="1" applyProtection="1">
      <alignment horizontal="right" vertical="center"/>
    </xf>
    <xf numFmtId="217" fontId="90" fillId="26" borderId="0" xfId="0" applyNumberFormat="1" applyFont="1" applyFill="1" applyBorder="1" applyAlignment="1" applyProtection="1">
      <alignment vertical="center"/>
    </xf>
    <xf numFmtId="191" fontId="91" fillId="26" borderId="0" xfId="0" applyNumberFormat="1" applyFont="1" applyFill="1" applyAlignment="1" applyProtection="1">
      <alignment vertical="center"/>
    </xf>
    <xf numFmtId="0" fontId="151" fillId="26" borderId="0" xfId="0" applyFont="1" applyFill="1" applyBorder="1" applyAlignment="1" applyProtection="1">
      <alignment vertical="center"/>
    </xf>
    <xf numFmtId="4" fontId="151" fillId="26" borderId="0" xfId="0" applyNumberFormat="1" applyFont="1" applyFill="1" applyBorder="1" applyAlignment="1" applyProtection="1">
      <alignment vertical="center"/>
    </xf>
    <xf numFmtId="10" fontId="153" fillId="26" borderId="0" xfId="41" applyNumberFormat="1" applyFont="1" applyFill="1" applyBorder="1" applyAlignment="1" applyProtection="1">
      <alignment horizontal="right" vertical="center"/>
    </xf>
    <xf numFmtId="0" fontId="151" fillId="26" borderId="49" xfId="0" applyFont="1" applyFill="1" applyBorder="1" applyAlignment="1" applyProtection="1">
      <alignment horizontal="left" vertical="center"/>
    </xf>
    <xf numFmtId="191" fontId="151" fillId="26" borderId="12" xfId="0" applyNumberFormat="1" applyFont="1" applyFill="1" applyBorder="1" applyAlignment="1" applyProtection="1">
      <alignment horizontal="right" vertical="center"/>
    </xf>
    <xf numFmtId="0" fontId="194" fillId="26" borderId="0" xfId="0" applyFont="1" applyFill="1" applyBorder="1" applyAlignment="1" applyProtection="1">
      <alignment vertical="center"/>
    </xf>
    <xf numFmtId="0" fontId="193" fillId="26" borderId="0" xfId="0" applyFont="1" applyFill="1" applyAlignment="1" applyProtection="1">
      <alignment vertical="center"/>
    </xf>
    <xf numFmtId="189" fontId="195" fillId="26" borderId="90" xfId="55" applyNumberFormat="1" applyFont="1" applyFill="1" applyBorder="1" applyAlignment="1" applyProtection="1">
      <alignment horizontal="center" vertical="center" shrinkToFit="1"/>
    </xf>
    <xf numFmtId="189" fontId="195" fillId="26" borderId="84" xfId="55" applyNumberFormat="1" applyFont="1" applyFill="1" applyBorder="1" applyAlignment="1" applyProtection="1">
      <alignment horizontal="center" vertical="center" shrinkToFit="1"/>
    </xf>
    <xf numFmtId="189" fontId="195" fillId="26" borderId="59" xfId="55" applyNumberFormat="1" applyFont="1" applyFill="1" applyBorder="1" applyAlignment="1" applyProtection="1">
      <alignment horizontal="center" vertical="center" shrinkToFit="1"/>
    </xf>
    <xf numFmtId="0" fontId="164" fillId="26" borderId="30" xfId="0" applyNumberFormat="1" applyFont="1" applyFill="1" applyBorder="1" applyAlignment="1" applyProtection="1">
      <alignment vertical="center"/>
    </xf>
    <xf numFmtId="191" fontId="151" fillId="26" borderId="117" xfId="0" applyNumberFormat="1" applyFont="1" applyFill="1" applyBorder="1" applyAlignment="1" applyProtection="1">
      <alignment vertical="center"/>
    </xf>
    <xf numFmtId="217" fontId="152" fillId="26" borderId="14" xfId="0" applyNumberFormat="1" applyFont="1" applyFill="1" applyBorder="1" applyAlignment="1" applyProtection="1">
      <alignment vertical="center"/>
    </xf>
    <xf numFmtId="217" fontId="152" fillId="26" borderId="14" xfId="0" quotePrefix="1" applyNumberFormat="1" applyFont="1" applyFill="1" applyBorder="1" applyAlignment="1" applyProtection="1">
      <alignment horizontal="center" vertical="center"/>
    </xf>
    <xf numFmtId="217" fontId="152" fillId="26" borderId="14" xfId="0" applyNumberFormat="1" applyFont="1" applyFill="1" applyBorder="1" applyAlignment="1" applyProtection="1">
      <alignment horizontal="center" vertical="center"/>
    </xf>
    <xf numFmtId="0" fontId="152" fillId="26" borderId="0" xfId="0" applyFont="1" applyFill="1" applyAlignment="1" applyProtection="1">
      <alignment vertical="center"/>
    </xf>
    <xf numFmtId="0" fontId="152" fillId="0" borderId="0" xfId="0" applyFont="1" applyFill="1" applyAlignment="1" applyProtection="1">
      <alignment vertical="center"/>
    </xf>
    <xf numFmtId="217" fontId="152" fillId="26" borderId="0" xfId="0" applyNumberFormat="1" applyFont="1" applyFill="1" applyBorder="1" applyAlignment="1" applyProtection="1">
      <alignment vertical="center"/>
    </xf>
    <xf numFmtId="217" fontId="152" fillId="26" borderId="0" xfId="0" quotePrefix="1" applyNumberFormat="1" applyFont="1" applyFill="1" applyBorder="1" applyAlignment="1" applyProtection="1">
      <alignment horizontal="center" vertical="center"/>
    </xf>
    <xf numFmtId="217" fontId="152" fillId="26" borderId="0" xfId="0" applyNumberFormat="1" applyFont="1" applyFill="1" applyBorder="1" applyAlignment="1" applyProtection="1">
      <alignment horizontal="center" vertical="center"/>
    </xf>
    <xf numFmtId="189" fontId="197" fillId="26" borderId="0" xfId="55" applyNumberFormat="1" applyFont="1" applyFill="1" applyBorder="1" applyAlignment="1" applyProtection="1">
      <alignment horizontal="center" vertical="center" shrinkToFit="1"/>
    </xf>
    <xf numFmtId="39" fontId="153" fillId="26" borderId="0" xfId="0" quotePrefix="1" applyNumberFormat="1" applyFont="1" applyFill="1" applyBorder="1" applyAlignment="1" applyProtection="1">
      <alignment horizontal="center" vertical="center"/>
    </xf>
    <xf numFmtId="39" fontId="153" fillId="26" borderId="0" xfId="0" applyNumberFormat="1" applyFont="1" applyFill="1" applyBorder="1" applyAlignment="1" applyProtection="1">
      <alignment horizontal="center" vertical="center"/>
    </xf>
    <xf numFmtId="207" fontId="198" fillId="32" borderId="0" xfId="0" applyNumberFormat="1" applyFont="1" applyFill="1" applyBorder="1" applyAlignment="1" applyProtection="1">
      <alignment horizontal="right" vertical="center"/>
    </xf>
    <xf numFmtId="14" fontId="198" fillId="32" borderId="44" xfId="0" applyNumberFormat="1" applyFont="1" applyFill="1" applyBorder="1" applyAlignment="1" applyProtection="1">
      <alignment horizontal="center" vertical="center"/>
    </xf>
    <xf numFmtId="0" fontId="153" fillId="32" borderId="43" xfId="0" applyFont="1" applyFill="1" applyBorder="1" applyAlignment="1" applyProtection="1">
      <alignment horizontal="left" vertical="center" shrinkToFit="1"/>
    </xf>
    <xf numFmtId="211" fontId="130" fillId="32" borderId="17" xfId="0" applyNumberFormat="1" applyFont="1" applyFill="1" applyBorder="1" applyAlignment="1" applyProtection="1">
      <alignment horizontal="right" vertical="center"/>
    </xf>
    <xf numFmtId="211" fontId="164" fillId="32" borderId="0" xfId="0" applyNumberFormat="1" applyFont="1" applyFill="1" applyBorder="1" applyAlignment="1" applyProtection="1">
      <alignment horizontal="center" vertical="center"/>
    </xf>
    <xf numFmtId="211" fontId="130" fillId="32" borderId="0" xfId="0" applyNumberFormat="1" applyFont="1" applyFill="1" applyBorder="1" applyAlignment="1" applyProtection="1">
      <alignment vertical="center"/>
    </xf>
    <xf numFmtId="3" fontId="130" fillId="32" borderId="0" xfId="0" applyNumberFormat="1" applyFont="1" applyFill="1" applyBorder="1" applyAlignment="1" applyProtection="1">
      <alignment horizontal="right" vertical="center"/>
    </xf>
    <xf numFmtId="0" fontId="130" fillId="26" borderId="0" xfId="0" applyFont="1" applyFill="1" applyBorder="1" applyAlignment="1" applyProtection="1">
      <alignment vertical="center"/>
    </xf>
    <xf numFmtId="0" fontId="153" fillId="32" borderId="115" xfId="0" applyFont="1" applyFill="1" applyBorder="1" applyAlignment="1" applyProtection="1">
      <alignment vertical="center"/>
    </xf>
    <xf numFmtId="217" fontId="130" fillId="32" borderId="44" xfId="0" applyNumberFormat="1" applyFont="1" applyFill="1" applyBorder="1" applyAlignment="1" applyProtection="1">
      <alignment horizontal="right" vertical="center"/>
    </xf>
    <xf numFmtId="39" fontId="130" fillId="32" borderId="0" xfId="0" applyNumberFormat="1" applyFont="1" applyFill="1" applyBorder="1" applyAlignment="1" applyProtection="1">
      <alignment vertical="center"/>
    </xf>
    <xf numFmtId="39" fontId="130" fillId="32" borderId="11" xfId="0" applyNumberFormat="1" applyFont="1" applyFill="1" applyBorder="1" applyAlignment="1" applyProtection="1">
      <alignment vertical="center"/>
    </xf>
    <xf numFmtId="3" fontId="130" fillId="32" borderId="11" xfId="0" applyNumberFormat="1" applyFont="1" applyFill="1" applyBorder="1" applyAlignment="1" applyProtection="1">
      <alignment horizontal="right" vertical="center"/>
    </xf>
    <xf numFmtId="191" fontId="179" fillId="26" borderId="0" xfId="0" applyNumberFormat="1" applyFont="1" applyFill="1" applyBorder="1" applyAlignment="1" applyProtection="1">
      <alignment horizontal="center" vertical="center"/>
    </xf>
    <xf numFmtId="191" fontId="179" fillId="26" borderId="44" xfId="0" applyNumberFormat="1" applyFont="1" applyFill="1" applyBorder="1" applyAlignment="1" applyProtection="1">
      <alignment horizontal="center" vertical="center"/>
    </xf>
    <xf numFmtId="217" fontId="164" fillId="32" borderId="134" xfId="0" applyNumberFormat="1" applyFont="1" applyFill="1" applyBorder="1" applyAlignment="1" applyProtection="1">
      <alignment vertical="center"/>
    </xf>
    <xf numFmtId="268" fontId="130" fillId="32" borderId="0" xfId="0" applyNumberFormat="1" applyFont="1" applyFill="1" applyBorder="1" applyAlignment="1" applyProtection="1">
      <alignment horizontal="right" vertical="center"/>
    </xf>
    <xf numFmtId="268" fontId="130" fillId="35" borderId="21" xfId="0" applyNumberFormat="1" applyFont="1" applyFill="1" applyBorder="1" applyAlignment="1" applyProtection="1">
      <alignment horizontal="right" vertical="center"/>
    </xf>
    <xf numFmtId="231" fontId="152" fillId="32" borderId="44" xfId="0" applyNumberFormat="1" applyFont="1" applyFill="1" applyBorder="1" applyAlignment="1" applyProtection="1">
      <alignment vertical="center"/>
    </xf>
    <xf numFmtId="188" fontId="130" fillId="32" borderId="0" xfId="0" applyNumberFormat="1" applyFont="1" applyFill="1" applyBorder="1" applyAlignment="1" applyProtection="1">
      <alignment horizontal="right" vertical="center"/>
    </xf>
    <xf numFmtId="0" fontId="153" fillId="32" borderId="229" xfId="0" applyFont="1" applyFill="1" applyBorder="1" applyAlignment="1" applyProtection="1">
      <alignment horizontal="left" vertical="center" shrinkToFit="1"/>
    </xf>
    <xf numFmtId="211" fontId="185" fillId="32" borderId="135" xfId="0" applyNumberFormat="1" applyFont="1" applyFill="1" applyBorder="1" applyAlignment="1" applyProtection="1">
      <alignment vertical="center" shrinkToFit="1"/>
    </xf>
    <xf numFmtId="211" fontId="130" fillId="32" borderId="0" xfId="0" applyNumberFormat="1" applyFont="1" applyFill="1" applyBorder="1" applyAlignment="1" applyProtection="1">
      <alignment horizontal="center" vertical="center" shrinkToFit="1"/>
    </xf>
    <xf numFmtId="211" fontId="164" fillId="32" borderId="0" xfId="0" applyNumberFormat="1" applyFont="1" applyFill="1" applyBorder="1" applyAlignment="1" applyProtection="1">
      <alignment horizontal="center" vertical="center" shrinkToFit="1"/>
    </xf>
    <xf numFmtId="177" fontId="179" fillId="26" borderId="13" xfId="0" applyNumberFormat="1" applyFont="1" applyFill="1" applyBorder="1" applyAlignment="1" applyProtection="1">
      <alignment horizontal="center" vertical="center"/>
    </xf>
    <xf numFmtId="191" fontId="163" fillId="26" borderId="13" xfId="0" applyNumberFormat="1" applyFont="1" applyFill="1" applyBorder="1" applyAlignment="1" applyProtection="1">
      <alignment horizontal="left" vertical="center"/>
    </xf>
    <xf numFmtId="0" fontId="200" fillId="32" borderId="45" xfId="0" applyFont="1" applyFill="1" applyBorder="1" applyAlignment="1" applyProtection="1">
      <alignment vertical="center"/>
    </xf>
    <xf numFmtId="211" fontId="201" fillId="32" borderId="46" xfId="0" applyNumberFormat="1" applyFont="1" applyFill="1" applyBorder="1" applyAlignment="1" applyProtection="1">
      <alignment horizontal="right" vertical="center"/>
    </xf>
    <xf numFmtId="10" fontId="164" fillId="32" borderId="0" xfId="0" applyNumberFormat="1" applyFont="1" applyFill="1" applyBorder="1" applyAlignment="1" applyProtection="1">
      <alignment horizontal="center" vertical="center"/>
    </xf>
    <xf numFmtId="10" fontId="130" fillId="32" borderId="0" xfId="0" applyNumberFormat="1" applyFont="1" applyFill="1" applyBorder="1" applyAlignment="1" applyProtection="1">
      <alignment horizontal="center" vertical="center"/>
    </xf>
    <xf numFmtId="272" fontId="179" fillId="26" borderId="13" xfId="0" applyNumberFormat="1" applyFont="1" applyFill="1" applyBorder="1" applyAlignment="1" applyProtection="1">
      <alignment horizontal="center" vertical="center"/>
    </xf>
    <xf numFmtId="211" fontId="197" fillId="32" borderId="0" xfId="0" applyNumberFormat="1" applyFont="1" applyFill="1" applyBorder="1" applyAlignment="1" applyProtection="1">
      <alignment horizontal="right" vertical="center"/>
    </xf>
    <xf numFmtId="10" fontId="197" fillId="32" borderId="0" xfId="0" applyNumberFormat="1" applyFont="1" applyFill="1" applyBorder="1" applyAlignment="1" applyProtection="1">
      <alignment horizontal="center" vertical="center"/>
    </xf>
    <xf numFmtId="0" fontId="96" fillId="0" borderId="0" xfId="0" applyFont="1" applyFill="1" applyBorder="1" applyAlignment="1" applyProtection="1">
      <alignment vertical="center"/>
    </xf>
    <xf numFmtId="0" fontId="125" fillId="32" borderId="45" xfId="0" applyFont="1" applyFill="1" applyBorder="1" applyAlignment="1" applyProtection="1">
      <alignment vertical="center"/>
    </xf>
    <xf numFmtId="0" fontId="88" fillId="32" borderId="11" xfId="0" applyFont="1" applyFill="1" applyBorder="1" applyAlignment="1" applyProtection="1">
      <alignment vertical="center"/>
    </xf>
    <xf numFmtId="4" fontId="88" fillId="32" borderId="11" xfId="0" applyNumberFormat="1" applyFont="1" applyFill="1" applyBorder="1" applyAlignment="1" applyProtection="1">
      <alignment vertical="center"/>
    </xf>
    <xf numFmtId="211" fontId="125" fillId="32" borderId="11" xfId="0" applyNumberFormat="1" applyFont="1" applyFill="1" applyBorder="1" applyAlignment="1" applyProtection="1">
      <alignment horizontal="center" vertical="center"/>
    </xf>
    <xf numFmtId="0" fontId="96" fillId="32" borderId="11" xfId="0" applyFont="1" applyFill="1" applyBorder="1" applyAlignment="1" applyProtection="1">
      <alignment vertical="center"/>
    </xf>
    <xf numFmtId="204" fontId="88" fillId="32" borderId="11" xfId="41" applyNumberFormat="1" applyFont="1" applyFill="1" applyBorder="1" applyAlignment="1" applyProtection="1">
      <alignment horizontal="left" vertical="center"/>
    </xf>
    <xf numFmtId="191" fontId="88" fillId="32" borderId="46" xfId="41" applyNumberFormat="1" applyFont="1" applyFill="1" applyBorder="1" applyAlignment="1" applyProtection="1">
      <alignment horizontal="right" vertical="center"/>
    </xf>
    <xf numFmtId="191" fontId="182" fillId="26" borderId="0" xfId="0" applyNumberFormat="1" applyFont="1" applyFill="1" applyBorder="1" applyAlignment="1" applyProtection="1">
      <alignment horizontal="center"/>
    </xf>
    <xf numFmtId="198" fontId="153" fillId="26" borderId="0" xfId="0" applyNumberFormat="1" applyFont="1" applyFill="1" applyBorder="1" applyAlignment="1" applyProtection="1">
      <alignment horizontal="left"/>
      <protection locked="0"/>
    </xf>
    <xf numFmtId="0" fontId="153" fillId="26" borderId="0" xfId="0" applyFont="1" applyFill="1" applyBorder="1" applyAlignment="1" applyProtection="1">
      <alignment horizontal="left"/>
      <protection locked="0"/>
    </xf>
    <xf numFmtId="0" fontId="152" fillId="26" borderId="0" xfId="0" applyFont="1" applyFill="1" applyBorder="1" applyAlignment="1" applyProtection="1">
      <alignment horizontal="right"/>
      <protection locked="0"/>
    </xf>
    <xf numFmtId="184" fontId="152" fillId="26" borderId="0" xfId="32" applyFont="1" applyFill="1" applyBorder="1" applyAlignment="1" applyProtection="1">
      <alignment vertical="center"/>
      <protection locked="0"/>
    </xf>
    <xf numFmtId="0" fontId="152" fillId="26" borderId="0" xfId="0" applyFont="1" applyFill="1" applyBorder="1" applyAlignment="1" applyProtection="1">
      <alignment vertical="center"/>
      <protection locked="0"/>
    </xf>
    <xf numFmtId="0" fontId="179" fillId="26" borderId="0" xfId="0" applyFont="1" applyFill="1" applyBorder="1" applyProtection="1">
      <protection locked="0"/>
    </xf>
    <xf numFmtId="217" fontId="91" fillId="26" borderId="0" xfId="41" applyNumberFormat="1" applyFont="1" applyFill="1" applyBorder="1" applyAlignment="1" applyProtection="1">
      <protection locked="0"/>
    </xf>
    <xf numFmtId="217" fontId="91" fillId="26" borderId="0" xfId="0" applyNumberFormat="1" applyFont="1" applyFill="1" applyBorder="1" applyAlignment="1" applyProtection="1">
      <alignment vertical="center"/>
      <protection locked="0"/>
    </xf>
    <xf numFmtId="0" fontId="91" fillId="26" borderId="0" xfId="0" quotePrefix="1" applyFont="1" applyFill="1" applyBorder="1" applyAlignment="1" applyProtection="1">
      <alignment vertical="center"/>
      <protection locked="0"/>
    </xf>
    <xf numFmtId="0" fontId="96" fillId="34" borderId="35" xfId="58" applyFont="1" applyFill="1" applyBorder="1" applyProtection="1"/>
    <xf numFmtId="0" fontId="96" fillId="34" borderId="36" xfId="58" applyFont="1" applyFill="1" applyBorder="1" applyProtection="1"/>
    <xf numFmtId="0" fontId="96" fillId="34" borderId="52" xfId="58" applyFont="1" applyFill="1" applyBorder="1" applyProtection="1"/>
    <xf numFmtId="0" fontId="96" fillId="34" borderId="37" xfId="58" applyFont="1" applyFill="1" applyBorder="1" applyProtection="1"/>
    <xf numFmtId="0" fontId="189" fillId="34" borderId="0" xfId="58" applyFont="1" applyFill="1" applyBorder="1" applyProtection="1"/>
    <xf numFmtId="0" fontId="96" fillId="34" borderId="0" xfId="58" applyFont="1" applyFill="1" applyBorder="1" applyProtection="1"/>
    <xf numFmtId="0" fontId="96" fillId="34" borderId="38" xfId="58" applyFont="1" applyFill="1" applyBorder="1" applyProtection="1"/>
    <xf numFmtId="0" fontId="153" fillId="26" borderId="0" xfId="0" applyFont="1" applyFill="1" applyBorder="1" applyProtection="1">
      <protection locked="0"/>
    </xf>
    <xf numFmtId="0" fontId="125" fillId="26" borderId="0" xfId="0" applyFont="1" applyFill="1" applyBorder="1" applyAlignment="1">
      <alignment horizontal="center"/>
    </xf>
    <xf numFmtId="10" fontId="125" fillId="26" borderId="0" xfId="0" applyNumberFormat="1" applyFont="1" applyFill="1" applyBorder="1" applyAlignment="1">
      <alignment horizontal="center"/>
    </xf>
    <xf numFmtId="0" fontId="125" fillId="26" borderId="0" xfId="0" applyFont="1" applyFill="1" applyBorder="1" applyAlignment="1">
      <alignment horizontal="right"/>
    </xf>
    <xf numFmtId="198" fontId="96" fillId="26" borderId="0" xfId="0" applyNumberFormat="1" applyFont="1" applyFill="1" applyBorder="1" applyAlignment="1">
      <alignment horizontal="center"/>
    </xf>
    <xf numFmtId="194" fontId="96" fillId="26" borderId="0" xfId="0" applyNumberFormat="1" applyFont="1" applyFill="1" applyBorder="1" applyAlignment="1">
      <alignment horizontal="center"/>
    </xf>
    <xf numFmtId="14" fontId="96" fillId="34" borderId="0" xfId="58" applyNumberFormat="1" applyFont="1" applyFill="1" applyBorder="1" applyProtection="1"/>
    <xf numFmtId="40" fontId="96" fillId="34" borderId="0" xfId="58" applyNumberFormat="1" applyFont="1" applyFill="1" applyBorder="1" applyProtection="1"/>
    <xf numFmtId="0" fontId="96" fillId="26" borderId="0" xfId="0" applyFont="1" applyFill="1" applyBorder="1" applyAlignment="1">
      <alignment horizontal="right"/>
    </xf>
    <xf numFmtId="198" fontId="96" fillId="26" borderId="0" xfId="55" applyNumberFormat="1" applyFont="1" applyFill="1" applyBorder="1" applyAlignment="1">
      <alignment horizontal="center"/>
    </xf>
    <xf numFmtId="40" fontId="96" fillId="34" borderId="40" xfId="58" applyNumberFormat="1" applyFont="1" applyFill="1" applyBorder="1" applyProtection="1"/>
    <xf numFmtId="0" fontId="125" fillId="26" borderId="0" xfId="0" quotePrefix="1" applyFont="1" applyFill="1" applyBorder="1" applyAlignment="1">
      <alignment horizontal="right"/>
    </xf>
    <xf numFmtId="14" fontId="174" fillId="26" borderId="0" xfId="0" applyNumberFormat="1" applyFont="1" applyFill="1" applyBorder="1" applyAlignment="1" applyProtection="1">
      <alignment vertical="center"/>
      <protection locked="0"/>
    </xf>
    <xf numFmtId="1" fontId="174" fillId="26" borderId="0" xfId="0" applyNumberFormat="1" applyFont="1" applyFill="1" applyBorder="1" applyAlignment="1" applyProtection="1">
      <alignment vertical="center"/>
      <protection locked="0"/>
    </xf>
    <xf numFmtId="38" fontId="96" fillId="34" borderId="40" xfId="58" applyNumberFormat="1" applyFont="1" applyFill="1" applyBorder="1" applyProtection="1"/>
    <xf numFmtId="8" fontId="96" fillId="34" borderId="235" xfId="58" applyNumberFormat="1" applyFont="1" applyFill="1" applyBorder="1" applyProtection="1"/>
    <xf numFmtId="10" fontId="153" fillId="26" borderId="0" xfId="0" applyNumberFormat="1" applyFont="1" applyFill="1" applyBorder="1" applyAlignment="1" applyProtection="1">
      <alignment horizontal="center"/>
      <protection locked="0"/>
    </xf>
    <xf numFmtId="8" fontId="96" fillId="34" borderId="0" xfId="58" applyNumberFormat="1" applyFont="1" applyFill="1" applyBorder="1" applyProtection="1"/>
    <xf numFmtId="183" fontId="152" fillId="26" borderId="0" xfId="0" applyNumberFormat="1" applyFont="1" applyFill="1" applyBorder="1" applyAlignment="1" applyProtection="1">
      <alignment horizontal="center"/>
      <protection locked="0"/>
    </xf>
    <xf numFmtId="0" fontId="96" fillId="34" borderId="39" xfId="58" applyFont="1" applyFill="1" applyBorder="1" applyProtection="1"/>
    <xf numFmtId="0" fontId="96" fillId="34" borderId="40" xfId="58" applyFont="1" applyFill="1" applyBorder="1" applyProtection="1"/>
    <xf numFmtId="8" fontId="96" fillId="34" borderId="40" xfId="58" applyNumberFormat="1" applyFont="1" applyFill="1" applyBorder="1" applyProtection="1"/>
    <xf numFmtId="0" fontId="96" fillId="34" borderId="41" xfId="58" applyFont="1" applyFill="1" applyBorder="1" applyProtection="1"/>
    <xf numFmtId="14" fontId="152" fillId="26" borderId="0" xfId="0" applyNumberFormat="1" applyFont="1" applyFill="1" applyBorder="1" applyAlignment="1" applyProtection="1">
      <alignment vertical="center"/>
      <protection locked="0"/>
    </xf>
    <xf numFmtId="14" fontId="152" fillId="26" borderId="0" xfId="0" applyNumberFormat="1" applyFont="1" applyFill="1" applyBorder="1" applyProtection="1">
      <protection locked="0"/>
    </xf>
    <xf numFmtId="10" fontId="152" fillId="26" borderId="0" xfId="0" applyNumberFormat="1" applyFont="1" applyFill="1" applyBorder="1" applyProtection="1">
      <protection locked="0"/>
    </xf>
    <xf numFmtId="10" fontId="96" fillId="26" borderId="0" xfId="41" applyNumberFormat="1" applyFont="1" applyFill="1" applyBorder="1" applyAlignment="1" applyProtection="1">
      <alignment horizontal="right"/>
      <protection locked="0"/>
    </xf>
    <xf numFmtId="1" fontId="153" fillId="26" borderId="0" xfId="0" applyNumberFormat="1" applyFont="1" applyFill="1" applyBorder="1" applyAlignment="1" applyProtection="1">
      <alignment horizontal="center"/>
      <protection locked="0"/>
    </xf>
    <xf numFmtId="3" fontId="152" fillId="26" borderId="0" xfId="0" applyNumberFormat="1" applyFont="1" applyFill="1" applyBorder="1" applyAlignment="1" applyProtection="1">
      <alignment horizontal="center"/>
      <protection locked="0"/>
    </xf>
    <xf numFmtId="1" fontId="152" fillId="26" borderId="0" xfId="0" applyNumberFormat="1" applyFont="1" applyFill="1" applyBorder="1" applyAlignment="1" applyProtection="1">
      <alignment horizontal="center"/>
      <protection locked="0"/>
    </xf>
    <xf numFmtId="10" fontId="202" fillId="26" borderId="0" xfId="0" applyNumberFormat="1" applyFont="1" applyFill="1" applyBorder="1" applyAlignment="1" applyProtection="1">
      <alignment horizontal="center"/>
      <protection locked="0"/>
    </xf>
    <xf numFmtId="10" fontId="152" fillId="26" borderId="0" xfId="41" applyNumberFormat="1" applyFont="1" applyFill="1" applyBorder="1" applyProtection="1">
      <protection locked="0"/>
    </xf>
    <xf numFmtId="14" fontId="152" fillId="26" borderId="0" xfId="0" applyNumberFormat="1" applyFont="1" applyFill="1" applyBorder="1" applyAlignment="1" applyProtection="1">
      <alignment horizontal="right"/>
      <protection locked="0"/>
    </xf>
    <xf numFmtId="0" fontId="152" fillId="26" borderId="0" xfId="0" applyNumberFormat="1" applyFont="1" applyFill="1" applyBorder="1" applyProtection="1">
      <protection locked="0"/>
    </xf>
    <xf numFmtId="10" fontId="202" fillId="26" borderId="0" xfId="41" applyNumberFormat="1" applyFont="1" applyFill="1" applyBorder="1" applyAlignment="1" applyProtection="1">
      <alignment horizontal="center"/>
      <protection locked="0"/>
    </xf>
    <xf numFmtId="1" fontId="152" fillId="26" borderId="0" xfId="0" applyNumberFormat="1" applyFont="1" applyFill="1" applyBorder="1" applyProtection="1">
      <protection locked="0"/>
    </xf>
    <xf numFmtId="183" fontId="152" fillId="26" borderId="0" xfId="0" applyNumberFormat="1" applyFont="1" applyFill="1" applyBorder="1" applyProtection="1">
      <protection locked="0"/>
    </xf>
    <xf numFmtId="0" fontId="152" fillId="26" borderId="0" xfId="0" applyFont="1" applyFill="1" applyBorder="1" applyAlignment="1" applyProtection="1">
      <alignment horizontal="right" vertical="center"/>
      <protection locked="0"/>
    </xf>
    <xf numFmtId="0" fontId="153" fillId="26" borderId="0" xfId="0" applyFont="1" applyFill="1" applyBorder="1" applyAlignment="1" applyProtection="1">
      <alignment horizontal="center" vertical="center" wrapText="1"/>
      <protection locked="0"/>
    </xf>
    <xf numFmtId="0" fontId="175" fillId="26" borderId="0" xfId="0" applyFont="1" applyFill="1" applyBorder="1" applyAlignment="1" applyProtection="1">
      <alignment vertical="center"/>
      <protection locked="0"/>
    </xf>
    <xf numFmtId="191" fontId="175" fillId="26" borderId="0" xfId="0" applyNumberFormat="1" applyFont="1" applyFill="1" applyBorder="1" applyAlignment="1" applyProtection="1">
      <alignment vertical="center"/>
      <protection locked="0"/>
    </xf>
    <xf numFmtId="191" fontId="175" fillId="26" borderId="0" xfId="0" applyNumberFormat="1" applyFont="1" applyFill="1" applyBorder="1" applyAlignment="1" applyProtection="1">
      <alignment horizontal="right" vertical="center"/>
      <protection locked="0"/>
    </xf>
    <xf numFmtId="0" fontId="153" fillId="26" borderId="0" xfId="0" applyFont="1" applyFill="1" applyBorder="1" applyAlignment="1" applyProtection="1">
      <alignment horizontal="right" vertical="center"/>
      <protection locked="0"/>
    </xf>
    <xf numFmtId="0" fontId="187" fillId="0" borderId="0" xfId="0" applyFont="1" applyFill="1" applyBorder="1" applyAlignment="1" applyProtection="1">
      <alignment vertical="center"/>
    </xf>
    <xf numFmtId="0" fontId="152" fillId="0" borderId="0" xfId="0" applyFont="1" applyFill="1" applyBorder="1" applyAlignment="1" applyProtection="1">
      <alignment vertical="center"/>
      <protection locked="0"/>
    </xf>
    <xf numFmtId="0" fontId="152" fillId="0" borderId="0" xfId="0" applyFont="1" applyFill="1" applyBorder="1" applyAlignment="1" applyProtection="1">
      <alignment horizontal="right" vertical="center"/>
      <protection locked="0"/>
    </xf>
    <xf numFmtId="0" fontId="152" fillId="0" borderId="0" xfId="0" applyFont="1" applyFill="1" applyBorder="1" applyProtection="1">
      <protection locked="0"/>
    </xf>
    <xf numFmtId="238" fontId="205" fillId="26" borderId="36" xfId="58" applyNumberFormat="1" applyFont="1" applyFill="1" applyBorder="1" applyAlignment="1" applyProtection="1">
      <alignment horizontal="center" vertical="center"/>
    </xf>
    <xf numFmtId="10" fontId="206" fillId="32" borderId="93" xfId="58" applyNumberFormat="1" applyFont="1" applyFill="1" applyBorder="1" applyAlignment="1" applyProtection="1">
      <alignment horizontal="center" vertical="center"/>
    </xf>
    <xf numFmtId="0" fontId="96" fillId="34" borderId="0" xfId="58" applyFont="1" applyFill="1" applyProtection="1"/>
    <xf numFmtId="10" fontId="96" fillId="34" borderId="0" xfId="58" applyNumberFormat="1" applyFont="1" applyFill="1" applyProtection="1"/>
    <xf numFmtId="0" fontId="96" fillId="0" borderId="0" xfId="58" applyFont="1" applyProtection="1"/>
    <xf numFmtId="0" fontId="87" fillId="32" borderId="140" xfId="58" applyFont="1" applyFill="1" applyBorder="1" applyAlignment="1" applyProtection="1">
      <alignment horizontal="center" vertical="center"/>
    </xf>
    <xf numFmtId="0" fontId="87" fillId="32" borderId="141" xfId="58" applyFont="1" applyFill="1" applyBorder="1" applyAlignment="1" applyProtection="1">
      <alignment horizontal="center" vertical="center"/>
    </xf>
    <xf numFmtId="14" fontId="87" fillId="32" borderId="141" xfId="58" applyNumberFormat="1" applyFont="1" applyFill="1" applyBorder="1" applyAlignment="1" applyProtection="1">
      <alignment horizontal="center" vertical="center"/>
    </xf>
    <xf numFmtId="0" fontId="87" fillId="32" borderId="142" xfId="58" applyFont="1" applyFill="1" applyBorder="1" applyAlignment="1" applyProtection="1">
      <alignment horizontal="center" vertical="center"/>
    </xf>
    <xf numFmtId="0" fontId="87" fillId="36" borderId="37" xfId="58" applyFont="1" applyFill="1" applyBorder="1" applyAlignment="1" applyProtection="1">
      <alignment horizontal="center" vertical="center"/>
    </xf>
    <xf numFmtId="0" fontId="87" fillId="36" borderId="0" xfId="58" applyFont="1" applyFill="1" applyBorder="1" applyAlignment="1" applyProtection="1">
      <alignment horizontal="center" vertical="center"/>
    </xf>
    <xf numFmtId="14" fontId="87" fillId="36" borderId="0" xfId="58" applyNumberFormat="1" applyFont="1" applyFill="1" applyBorder="1" applyAlignment="1" applyProtection="1">
      <alignment horizontal="center" vertical="center"/>
    </xf>
    <xf numFmtId="0" fontId="87" fillId="36" borderId="38" xfId="58" applyFont="1" applyFill="1" applyBorder="1" applyAlignment="1" applyProtection="1">
      <alignment horizontal="center" vertical="center"/>
    </xf>
    <xf numFmtId="0" fontId="96" fillId="35" borderId="37" xfId="58" applyFont="1" applyFill="1" applyBorder="1" applyAlignment="1" applyProtection="1">
      <alignment horizontal="center" vertical="center"/>
    </xf>
    <xf numFmtId="0" fontId="96" fillId="36" borderId="0" xfId="58" applyFont="1" applyFill="1" applyBorder="1" applyAlignment="1" applyProtection="1">
      <alignment horizontal="center" vertical="center"/>
    </xf>
    <xf numFmtId="14" fontId="96" fillId="36" borderId="0" xfId="58" applyNumberFormat="1" applyFont="1" applyFill="1" applyBorder="1" applyAlignment="1" applyProtection="1">
      <alignment horizontal="center" vertical="center"/>
    </xf>
    <xf numFmtId="14" fontId="207" fillId="45" borderId="0" xfId="58" applyNumberFormat="1" applyFont="1" applyFill="1" applyBorder="1" applyAlignment="1" applyProtection="1">
      <alignment horizontal="center" vertical="center" shrinkToFit="1"/>
    </xf>
    <xf numFmtId="0" fontId="96" fillId="36" borderId="37" xfId="58" applyFont="1" applyFill="1" applyBorder="1" applyAlignment="1" applyProtection="1">
      <alignment horizontal="left" vertical="center"/>
    </xf>
    <xf numFmtId="14" fontId="96" fillId="36" borderId="0" xfId="58" applyNumberFormat="1" applyFont="1" applyFill="1" applyBorder="1" applyAlignment="1" applyProtection="1">
      <alignment vertical="center"/>
    </xf>
    <xf numFmtId="0" fontId="96" fillId="36" borderId="0" xfId="58" applyFont="1" applyFill="1" applyBorder="1" applyAlignment="1" applyProtection="1">
      <alignment horizontal="right"/>
    </xf>
    <xf numFmtId="0" fontId="96" fillId="36" borderId="38" xfId="58" applyFont="1" applyFill="1" applyBorder="1" applyAlignment="1" applyProtection="1">
      <alignment horizontal="center" vertical="center"/>
    </xf>
    <xf numFmtId="0" fontId="96" fillId="36" borderId="37" xfId="58" applyFont="1" applyFill="1" applyBorder="1" applyAlignment="1" applyProtection="1">
      <alignment vertical="center"/>
    </xf>
    <xf numFmtId="217" fontId="96" fillId="35" borderId="0" xfId="58" applyNumberFormat="1" applyFont="1" applyFill="1" applyBorder="1" applyAlignment="1" applyProtection="1">
      <alignment horizontal="center" vertical="center"/>
      <protection locked="0"/>
    </xf>
    <xf numFmtId="217" fontId="96" fillId="36" borderId="0" xfId="58" applyNumberFormat="1" applyFont="1" applyFill="1" applyBorder="1" applyAlignment="1" applyProtection="1">
      <alignment horizontal="center" vertical="center"/>
    </xf>
    <xf numFmtId="0" fontId="96" fillId="36" borderId="0" xfId="58" applyFont="1" applyFill="1" applyBorder="1" applyAlignment="1" applyProtection="1">
      <alignment vertical="center"/>
    </xf>
    <xf numFmtId="217" fontId="96" fillId="36" borderId="38" xfId="58" applyNumberFormat="1" applyFont="1" applyFill="1" applyBorder="1" applyAlignment="1" applyProtection="1">
      <alignment horizontal="center" vertical="center"/>
    </xf>
    <xf numFmtId="217" fontId="96" fillId="36" borderId="143" xfId="58" applyNumberFormat="1" applyFont="1" applyFill="1" applyBorder="1" applyAlignment="1" applyProtection="1">
      <alignment horizontal="center" vertical="center"/>
    </xf>
    <xf numFmtId="217" fontId="96" fillId="36" borderId="144" xfId="58" applyNumberFormat="1" applyFont="1" applyFill="1" applyBorder="1" applyAlignment="1" applyProtection="1">
      <alignment horizontal="center" vertical="center"/>
    </xf>
    <xf numFmtId="220" fontId="96" fillId="35" borderId="0" xfId="58" applyNumberFormat="1" applyFont="1" applyFill="1" applyBorder="1" applyAlignment="1" applyProtection="1">
      <alignment horizontal="right" vertical="center"/>
      <protection locked="0"/>
    </xf>
    <xf numFmtId="227" fontId="96" fillId="36" borderId="0" xfId="58" applyNumberFormat="1" applyFont="1" applyFill="1" applyBorder="1" applyAlignment="1" applyProtection="1">
      <alignment horizontal="right" vertical="center"/>
    </xf>
    <xf numFmtId="220" fontId="96" fillId="36" borderId="38" xfId="58" applyNumberFormat="1" applyFont="1" applyFill="1" applyBorder="1" applyAlignment="1" applyProtection="1">
      <alignment horizontal="right" vertical="center"/>
    </xf>
    <xf numFmtId="239" fontId="96" fillId="36" borderId="0" xfId="58" applyNumberFormat="1" applyFont="1" applyFill="1" applyBorder="1" applyAlignment="1" applyProtection="1">
      <alignment horizontal="right" vertical="center"/>
    </xf>
    <xf numFmtId="239" fontId="209" fillId="36" borderId="38" xfId="58" applyNumberFormat="1" applyFont="1" applyFill="1" applyBorder="1" applyAlignment="1" applyProtection="1">
      <alignment horizontal="left" vertical="center"/>
    </xf>
    <xf numFmtId="0" fontId="139" fillId="36" borderId="0" xfId="58" applyFont="1" applyFill="1" applyBorder="1" applyAlignment="1" applyProtection="1">
      <alignment vertical="center"/>
    </xf>
    <xf numFmtId="217" fontId="139" fillId="36" borderId="38" xfId="58" applyNumberFormat="1" applyFont="1" applyFill="1" applyBorder="1" applyAlignment="1" applyProtection="1">
      <alignment horizontal="center" vertical="center"/>
    </xf>
    <xf numFmtId="0" fontId="124" fillId="36" borderId="0" xfId="58" applyFont="1" applyFill="1" applyBorder="1" applyAlignment="1" applyProtection="1">
      <alignment vertical="center"/>
    </xf>
    <xf numFmtId="10" fontId="125" fillId="36" borderId="38" xfId="41" applyNumberFormat="1" applyFont="1" applyFill="1" applyBorder="1" applyAlignment="1" applyProtection="1">
      <alignment horizontal="center" vertical="center"/>
    </xf>
    <xf numFmtId="0" fontId="210" fillId="36" borderId="37" xfId="58" applyFont="1" applyFill="1" applyBorder="1" applyProtection="1"/>
    <xf numFmtId="10" fontId="211" fillId="36" borderId="38" xfId="41" applyNumberFormat="1" applyFont="1" applyFill="1" applyBorder="1" applyAlignment="1" applyProtection="1">
      <alignment horizontal="center" vertical="center"/>
    </xf>
    <xf numFmtId="0" fontId="212" fillId="27" borderId="37" xfId="58" applyFont="1" applyFill="1" applyBorder="1" applyProtection="1"/>
    <xf numFmtId="0" fontId="139" fillId="27" borderId="0" xfId="58" applyFont="1" applyFill="1" applyBorder="1" applyAlignment="1" applyProtection="1">
      <alignment horizontal="left" vertical="center"/>
    </xf>
    <xf numFmtId="0" fontId="123" fillId="27" borderId="0" xfId="58" applyFont="1" applyFill="1" applyBorder="1" applyProtection="1"/>
    <xf numFmtId="0" fontId="96" fillId="27" borderId="0" xfId="58" applyFont="1" applyFill="1" applyBorder="1" applyProtection="1"/>
    <xf numFmtId="0" fontId="125" fillId="36" borderId="0" xfId="58" applyFont="1" applyFill="1" applyBorder="1" applyAlignment="1" applyProtection="1">
      <alignment horizontal="right"/>
    </xf>
    <xf numFmtId="14" fontId="125" fillId="36" borderId="38" xfId="58" applyNumberFormat="1" applyFont="1" applyFill="1" applyBorder="1" applyAlignment="1" applyProtection="1">
      <alignment horizontal="center"/>
    </xf>
    <xf numFmtId="14" fontId="96" fillId="34" borderId="0" xfId="58" applyNumberFormat="1" applyFont="1" applyFill="1" applyProtection="1"/>
    <xf numFmtId="0" fontId="96" fillId="34" borderId="0" xfId="58" applyNumberFormat="1" applyFont="1" applyFill="1" applyProtection="1"/>
    <xf numFmtId="0" fontId="96" fillId="0" borderId="49" xfId="58" applyFont="1" applyBorder="1" applyProtection="1"/>
    <xf numFmtId="0" fontId="125" fillId="0" borderId="13" xfId="58" applyFont="1" applyBorder="1" applyAlignment="1" applyProtection="1">
      <alignment horizontal="center" vertical="center"/>
    </xf>
    <xf numFmtId="0" fontId="125" fillId="0" borderId="13" xfId="58" applyFont="1" applyBorder="1" applyAlignment="1" applyProtection="1">
      <alignment horizontal="center"/>
    </xf>
    <xf numFmtId="0" fontId="96" fillId="36" borderId="0" xfId="58" applyFont="1" applyFill="1" applyBorder="1" applyProtection="1"/>
    <xf numFmtId="0" fontId="125" fillId="36" borderId="13" xfId="58" applyFont="1" applyFill="1" applyBorder="1" applyAlignment="1" applyProtection="1">
      <alignment horizontal="center"/>
    </xf>
    <xf numFmtId="0" fontId="124" fillId="27" borderId="0" xfId="58" applyFont="1" applyFill="1" applyBorder="1" applyAlignment="1" applyProtection="1">
      <alignment horizontal="center"/>
    </xf>
    <xf numFmtId="14" fontId="125" fillId="32" borderId="145" xfId="58" applyNumberFormat="1" applyFont="1" applyFill="1" applyBorder="1" applyAlignment="1" applyProtection="1">
      <alignment horizontal="center"/>
    </xf>
    <xf numFmtId="14" fontId="125" fillId="32" borderId="105" xfId="58" applyNumberFormat="1" applyFont="1" applyFill="1" applyBorder="1" applyAlignment="1" applyProtection="1">
      <alignment horizontal="center"/>
    </xf>
    <xf numFmtId="240" fontId="125" fillId="50" borderId="13" xfId="60" applyNumberFormat="1" applyFont="1" applyFill="1" applyBorder="1" applyProtection="1">
      <protection locked="0"/>
    </xf>
    <xf numFmtId="184" fontId="125" fillId="34" borderId="13" xfId="32" applyFont="1" applyFill="1" applyBorder="1" applyProtection="1"/>
    <xf numFmtId="185" fontId="96" fillId="34" borderId="13" xfId="32" applyNumberFormat="1" applyFont="1" applyFill="1" applyBorder="1" applyProtection="1"/>
    <xf numFmtId="185" fontId="96" fillId="36" borderId="0" xfId="32" applyNumberFormat="1" applyFont="1" applyFill="1" applyBorder="1" applyProtection="1"/>
    <xf numFmtId="198" fontId="124" fillId="36" borderId="13" xfId="32" applyNumberFormat="1" applyFont="1" applyFill="1" applyBorder="1" applyAlignment="1" applyProtection="1">
      <alignment horizontal="center"/>
    </xf>
    <xf numFmtId="0" fontId="124" fillId="36" borderId="0" xfId="32" applyNumberFormat="1" applyFont="1" applyFill="1" applyBorder="1" applyProtection="1"/>
    <xf numFmtId="184" fontId="125" fillId="34" borderId="13" xfId="58" applyNumberFormat="1" applyFont="1" applyFill="1" applyBorder="1" applyProtection="1"/>
    <xf numFmtId="10" fontId="96" fillId="27" borderId="38" xfId="41" applyNumberFormat="1" applyFont="1" applyFill="1" applyBorder="1" applyProtection="1"/>
    <xf numFmtId="240" fontId="125" fillId="37" borderId="13" xfId="60" applyNumberFormat="1" applyFont="1" applyFill="1" applyBorder="1" applyProtection="1">
      <protection locked="0"/>
    </xf>
    <xf numFmtId="184" fontId="125" fillId="34" borderId="13" xfId="32" applyNumberFormat="1" applyFont="1" applyFill="1" applyBorder="1" applyProtection="1"/>
    <xf numFmtId="219" fontId="214" fillId="36" borderId="0" xfId="32" applyNumberFormat="1" applyFont="1" applyFill="1" applyBorder="1" applyProtection="1"/>
    <xf numFmtId="0" fontId="124" fillId="36" borderId="44" xfId="32" applyNumberFormat="1" applyFont="1" applyFill="1" applyBorder="1" applyProtection="1"/>
    <xf numFmtId="0" fontId="126" fillId="32" borderId="49" xfId="58" applyFont="1" applyFill="1" applyBorder="1" applyAlignment="1" applyProtection="1">
      <alignment vertical="top"/>
    </xf>
    <xf numFmtId="240" fontId="127" fillId="34" borderId="13" xfId="60" applyNumberFormat="1" applyFont="1" applyFill="1" applyBorder="1" applyAlignment="1" applyProtection="1">
      <alignment horizontal="center" vertical="center"/>
    </xf>
    <xf numFmtId="184" fontId="125" fillId="36" borderId="13" xfId="32" applyFont="1" applyFill="1" applyBorder="1" applyProtection="1"/>
    <xf numFmtId="219" fontId="96" fillId="34" borderId="13" xfId="32" applyNumberFormat="1" applyFont="1" applyFill="1" applyBorder="1" applyProtection="1"/>
    <xf numFmtId="219" fontId="96" fillId="36" borderId="0" xfId="32" applyNumberFormat="1" applyFont="1" applyFill="1" applyBorder="1" applyProtection="1"/>
    <xf numFmtId="0" fontId="96" fillId="32" borderId="105" xfId="58" applyFont="1" applyFill="1" applyBorder="1" applyProtection="1"/>
    <xf numFmtId="0" fontId="189" fillId="34" borderId="0" xfId="58" applyFont="1" applyFill="1" applyProtection="1"/>
    <xf numFmtId="0" fontId="96" fillId="32" borderId="50" xfId="58" applyFont="1" applyFill="1" applyBorder="1" applyAlignment="1" applyProtection="1"/>
    <xf numFmtId="217" fontId="125" fillId="37" borderId="51" xfId="58" applyNumberFormat="1" applyFont="1" applyFill="1" applyBorder="1" applyProtection="1">
      <protection locked="0"/>
    </xf>
    <xf numFmtId="0" fontId="96" fillId="0" borderId="51" xfId="58" applyFont="1" applyBorder="1" applyAlignment="1" applyProtection="1">
      <alignment horizontal="right" vertical="center"/>
    </xf>
    <xf numFmtId="185" fontId="96" fillId="34" borderId="51" xfId="32" applyNumberFormat="1" applyFont="1" applyFill="1" applyBorder="1" applyProtection="1"/>
    <xf numFmtId="185" fontId="216" fillId="36" borderId="115" xfId="32" applyNumberFormat="1" applyFont="1" applyFill="1" applyBorder="1" applyProtection="1"/>
    <xf numFmtId="0" fontId="124" fillId="36" borderId="44" xfId="58" applyNumberFormat="1" applyFont="1" applyFill="1" applyBorder="1" applyAlignment="1" applyProtection="1"/>
    <xf numFmtId="189" fontId="95" fillId="34" borderId="13" xfId="58" applyNumberFormat="1" applyFont="1" applyFill="1" applyBorder="1" applyAlignment="1" applyProtection="1">
      <alignment horizontal="right"/>
    </xf>
    <xf numFmtId="184" fontId="96" fillId="32" borderId="60" xfId="58" applyNumberFormat="1" applyFont="1" applyFill="1" applyBorder="1" applyProtection="1"/>
    <xf numFmtId="0" fontId="96" fillId="32" borderId="42" xfId="58" applyFont="1" applyFill="1" applyBorder="1" applyAlignment="1" applyProtection="1"/>
    <xf numFmtId="217" fontId="125" fillId="32" borderId="14" xfId="58" applyNumberFormat="1" applyFont="1" applyFill="1" applyBorder="1" applyProtection="1"/>
    <xf numFmtId="0" fontId="96" fillId="0" borderId="14" xfId="58" applyFont="1" applyBorder="1" applyAlignment="1" applyProtection="1">
      <alignment horizontal="right" vertical="center"/>
    </xf>
    <xf numFmtId="42" fontId="96" fillId="34" borderId="14" xfId="32" applyNumberFormat="1" applyFont="1" applyFill="1" applyBorder="1" applyProtection="1"/>
    <xf numFmtId="42" fontId="216" fillId="36" borderId="115" xfId="41" applyNumberFormat="1" applyFont="1" applyFill="1" applyBorder="1" applyAlignment="1" applyProtection="1">
      <alignment horizontal="center"/>
    </xf>
    <xf numFmtId="0" fontId="124" fillId="36" borderId="44" xfId="32" applyNumberFormat="1" applyFont="1" applyFill="1" applyBorder="1" applyAlignment="1" applyProtection="1"/>
    <xf numFmtId="184" fontId="96" fillId="32" borderId="29" xfId="58" applyNumberFormat="1" applyFont="1" applyFill="1" applyBorder="1" applyProtection="1"/>
    <xf numFmtId="0" fontId="96" fillId="27" borderId="37" xfId="58" applyFont="1" applyFill="1" applyBorder="1" applyProtection="1"/>
    <xf numFmtId="10" fontId="218" fillId="27" borderId="45" xfId="41" applyNumberFormat="1" applyFont="1" applyFill="1" applyBorder="1" applyAlignment="1" applyProtection="1"/>
    <xf numFmtId="0" fontId="124" fillId="36" borderId="46" xfId="58" applyNumberFormat="1" applyFont="1" applyFill="1" applyBorder="1" applyProtection="1"/>
    <xf numFmtId="189" fontId="95" fillId="34" borderId="51" xfId="58" applyNumberFormat="1" applyFont="1" applyFill="1" applyBorder="1" applyProtection="1"/>
    <xf numFmtId="0" fontId="96" fillId="32" borderId="32" xfId="58" applyFont="1" applyFill="1" applyBorder="1" applyProtection="1"/>
    <xf numFmtId="0" fontId="96" fillId="41" borderId="0" xfId="58" applyFont="1" applyFill="1" applyBorder="1" applyProtection="1"/>
    <xf numFmtId="0" fontId="96" fillId="36" borderId="0" xfId="41" applyNumberFormat="1" applyFont="1" applyFill="1" applyBorder="1" applyAlignment="1" applyProtection="1">
      <alignment vertical="center"/>
    </xf>
    <xf numFmtId="0" fontId="96" fillId="32" borderId="38" xfId="58" applyFont="1" applyFill="1" applyBorder="1" applyProtection="1"/>
    <xf numFmtId="0" fontId="126" fillId="36" borderId="0" xfId="58" applyNumberFormat="1" applyFont="1" applyFill="1" applyBorder="1" applyProtection="1"/>
    <xf numFmtId="0" fontId="125" fillId="27" borderId="79" xfId="58" applyFont="1" applyFill="1" applyBorder="1" applyProtection="1"/>
    <xf numFmtId="0" fontId="96" fillId="27" borderId="16" xfId="58" applyFont="1" applyFill="1" applyBorder="1" applyProtection="1"/>
    <xf numFmtId="241" fontId="126" fillId="36" borderId="0" xfId="58" applyNumberFormat="1" applyFont="1" applyFill="1" applyBorder="1" applyProtection="1"/>
    <xf numFmtId="0" fontId="125" fillId="41" borderId="148" xfId="58" applyFont="1" applyFill="1" applyBorder="1" applyAlignment="1" applyProtection="1">
      <alignment horizontal="center"/>
    </xf>
    <xf numFmtId="0" fontId="125" fillId="41" borderId="60" xfId="58" applyFont="1" applyFill="1" applyBorder="1" applyAlignment="1" applyProtection="1">
      <alignment horizontal="center"/>
    </xf>
    <xf numFmtId="0" fontId="125" fillId="36" borderId="42" xfId="58" applyFont="1" applyFill="1" applyBorder="1" applyProtection="1"/>
    <xf numFmtId="185" fontId="125" fillId="36" borderId="115" xfId="32" applyNumberFormat="1" applyFont="1" applyFill="1" applyBorder="1" applyAlignment="1" applyProtection="1">
      <alignment horizontal="center"/>
    </xf>
    <xf numFmtId="185" fontId="125" fillId="36" borderId="0" xfId="32" applyNumberFormat="1" applyFont="1" applyFill="1" applyBorder="1" applyAlignment="1" applyProtection="1">
      <alignment horizontal="center"/>
    </xf>
    <xf numFmtId="0" fontId="125" fillId="27" borderId="0" xfId="58" applyFont="1" applyFill="1" applyBorder="1" applyProtection="1"/>
    <xf numFmtId="242" fontId="125" fillId="35" borderId="149" xfId="32" applyNumberFormat="1" applyFont="1" applyFill="1" applyBorder="1" applyAlignment="1" applyProtection="1">
      <alignment vertical="center"/>
      <protection locked="0"/>
    </xf>
    <xf numFmtId="0" fontId="96" fillId="32" borderId="29" xfId="58" applyFont="1" applyFill="1" applyBorder="1" applyProtection="1"/>
    <xf numFmtId="0" fontId="96" fillId="36" borderId="49" xfId="58" applyFont="1" applyFill="1" applyBorder="1" applyProtection="1"/>
    <xf numFmtId="8" fontId="96" fillId="34" borderId="13" xfId="58" applyNumberFormat="1" applyFont="1" applyFill="1" applyBorder="1" applyAlignment="1" applyProtection="1">
      <alignment horizontal="center"/>
    </xf>
    <xf numFmtId="243" fontId="96" fillId="36" borderId="115" xfId="58" applyNumberFormat="1" applyFont="1" applyFill="1" applyBorder="1" applyProtection="1"/>
    <xf numFmtId="243" fontId="96" fillId="36" borderId="0" xfId="58" applyNumberFormat="1" applyFont="1" applyFill="1" applyBorder="1" applyProtection="1"/>
    <xf numFmtId="0" fontId="96" fillId="32" borderId="60" xfId="58" applyFont="1" applyFill="1" applyBorder="1" applyProtection="1"/>
    <xf numFmtId="8" fontId="96" fillId="34" borderId="13" xfId="60" applyNumberFormat="1" applyFont="1" applyFill="1" applyBorder="1" applyAlignment="1" applyProtection="1">
      <alignment vertical="center"/>
    </xf>
    <xf numFmtId="242" fontId="125" fillId="35" borderId="150" xfId="32" applyNumberFormat="1" applyFont="1" applyFill="1" applyBorder="1" applyAlignment="1" applyProtection="1">
      <alignment vertical="center"/>
      <protection locked="0"/>
    </xf>
    <xf numFmtId="0" fontId="96" fillId="32" borderId="151" xfId="58" applyFont="1" applyFill="1" applyBorder="1" applyProtection="1"/>
    <xf numFmtId="0" fontId="96" fillId="36" borderId="37" xfId="58" applyFont="1" applyFill="1" applyBorder="1" applyProtection="1"/>
    <xf numFmtId="240" fontId="96" fillId="36" borderId="0" xfId="60" applyNumberFormat="1" applyFont="1" applyFill="1" applyBorder="1" applyProtection="1"/>
    <xf numFmtId="2" fontId="96" fillId="36" borderId="0" xfId="58" applyNumberFormat="1" applyFont="1" applyFill="1" applyBorder="1" applyAlignment="1" applyProtection="1">
      <alignment horizontal="center"/>
    </xf>
    <xf numFmtId="184" fontId="96" fillId="27" borderId="0" xfId="32" applyFont="1" applyFill="1" applyBorder="1" applyProtection="1"/>
    <xf numFmtId="0" fontId="125" fillId="36" borderId="152" xfId="58" applyFont="1" applyFill="1" applyBorder="1" applyAlignment="1" applyProtection="1">
      <alignment horizontal="center"/>
    </xf>
    <xf numFmtId="14" fontId="125" fillId="36" borderId="153" xfId="58" applyNumberFormat="1" applyFont="1" applyFill="1" applyBorder="1" applyAlignment="1" applyProtection="1">
      <alignment horizontal="center"/>
    </xf>
    <xf numFmtId="240" fontId="96" fillId="36" borderId="0" xfId="58" applyNumberFormat="1" applyFont="1" applyFill="1" applyBorder="1" applyProtection="1"/>
    <xf numFmtId="244" fontId="96" fillId="36" borderId="0" xfId="58" applyNumberFormat="1" applyFont="1" applyFill="1" applyBorder="1" applyProtection="1"/>
    <xf numFmtId="242" fontId="125" fillId="32" borderId="149" xfId="32" applyNumberFormat="1" applyFont="1" applyFill="1" applyBorder="1" applyAlignment="1" applyProtection="1">
      <alignment vertical="center"/>
      <protection locked="0"/>
    </xf>
    <xf numFmtId="0" fontId="125" fillId="36" borderId="79" xfId="58" applyFont="1" applyFill="1" applyBorder="1" applyAlignment="1" applyProtection="1"/>
    <xf numFmtId="0" fontId="125" fillId="36" borderId="16" xfId="58" applyFont="1" applyFill="1" applyBorder="1" applyAlignment="1" applyProtection="1">
      <alignment horizontal="center"/>
    </xf>
    <xf numFmtId="7" fontId="125" fillId="32" borderId="149" xfId="55" applyNumberFormat="1" applyFont="1" applyFill="1" applyBorder="1" applyAlignment="1" applyProtection="1">
      <alignment vertical="center"/>
      <protection locked="0"/>
    </xf>
    <xf numFmtId="0" fontId="220" fillId="36" borderId="0" xfId="58" applyFont="1" applyFill="1" applyBorder="1" applyProtection="1"/>
    <xf numFmtId="191" fontId="164" fillId="53" borderId="150" xfId="55" applyNumberFormat="1" applyFont="1" applyFill="1" applyBorder="1" applyAlignment="1" applyProtection="1">
      <alignment vertical="center"/>
    </xf>
    <xf numFmtId="0" fontId="96" fillId="32" borderId="154" xfId="58" applyFont="1" applyFill="1" applyBorder="1" applyAlignment="1" applyProtection="1">
      <alignment shrinkToFit="1"/>
    </xf>
    <xf numFmtId="0" fontId="96" fillId="36" borderId="38" xfId="58" applyFont="1" applyFill="1" applyBorder="1" applyProtection="1"/>
    <xf numFmtId="8" fontId="139" fillId="36" borderId="0" xfId="58" applyNumberFormat="1" applyFont="1" applyFill="1" applyBorder="1" applyAlignment="1" applyProtection="1"/>
    <xf numFmtId="242" fontId="125" fillId="36" borderId="37" xfId="32" applyNumberFormat="1" applyFont="1" applyFill="1" applyBorder="1" applyAlignment="1" applyProtection="1"/>
    <xf numFmtId="242" fontId="125" fillId="36" borderId="0" xfId="32" applyNumberFormat="1" applyFont="1" applyFill="1" applyBorder="1" applyAlignment="1" applyProtection="1"/>
    <xf numFmtId="207" fontId="204" fillId="36" borderId="115" xfId="0" applyNumberFormat="1" applyFont="1" applyFill="1" applyBorder="1" applyAlignment="1" applyProtection="1">
      <alignment horizontal="right" vertical="center"/>
    </xf>
    <xf numFmtId="14" fontId="204" fillId="36" borderId="38" xfId="0" applyNumberFormat="1" applyFont="1" applyFill="1" applyBorder="1" applyAlignment="1" applyProtection="1">
      <alignment horizontal="center" vertical="center"/>
    </xf>
    <xf numFmtId="2" fontId="125" fillId="36" borderId="0" xfId="58" applyNumberFormat="1" applyFont="1" applyFill="1" applyBorder="1" applyAlignment="1" applyProtection="1">
      <alignment horizontal="center"/>
    </xf>
    <xf numFmtId="207" fontId="204" fillId="36" borderId="45" xfId="0" applyNumberFormat="1" applyFont="1" applyFill="1" applyBorder="1" applyAlignment="1" applyProtection="1">
      <alignment horizontal="right" vertical="center"/>
    </xf>
    <xf numFmtId="14" fontId="204" fillId="36" borderId="61" xfId="0" applyNumberFormat="1" applyFont="1" applyFill="1" applyBorder="1" applyAlignment="1" applyProtection="1">
      <alignment horizontal="center" vertical="center"/>
    </xf>
    <xf numFmtId="0" fontId="96" fillId="27" borderId="40" xfId="58" applyFont="1" applyFill="1" applyBorder="1" applyProtection="1"/>
    <xf numFmtId="184" fontId="96" fillId="27" borderId="40" xfId="32" applyFont="1" applyFill="1" applyBorder="1" applyProtection="1"/>
    <xf numFmtId="0" fontId="96" fillId="36" borderId="40" xfId="58" applyFont="1" applyFill="1" applyBorder="1" applyProtection="1"/>
    <xf numFmtId="0" fontId="96" fillId="36" borderId="41" xfId="58" applyFont="1" applyFill="1" applyBorder="1" applyProtection="1"/>
    <xf numFmtId="0" fontId="96" fillId="32" borderId="78" xfId="58" applyFont="1" applyFill="1" applyBorder="1" applyProtection="1"/>
    <xf numFmtId="0" fontId="96" fillId="32" borderId="10" xfId="58" applyFont="1" applyFill="1" applyBorder="1" applyProtection="1"/>
    <xf numFmtId="0" fontId="96" fillId="32" borderId="12" xfId="58" applyFont="1" applyFill="1" applyBorder="1" applyProtection="1"/>
    <xf numFmtId="0" fontId="96" fillId="0" borderId="13" xfId="58" applyFont="1" applyBorder="1" applyProtection="1"/>
    <xf numFmtId="0" fontId="96" fillId="0" borderId="29" xfId="58" applyFont="1" applyBorder="1" applyAlignment="1" applyProtection="1">
      <alignment horizontal="center" vertical="center"/>
    </xf>
    <xf numFmtId="0" fontId="205" fillId="32" borderId="78" xfId="58" applyFont="1" applyFill="1" applyBorder="1" applyAlignment="1" applyProtection="1">
      <alignment vertical="center"/>
    </xf>
    <xf numFmtId="0" fontId="96" fillId="32" borderId="10" xfId="58" applyFont="1" applyFill="1" applyBorder="1" applyAlignment="1" applyProtection="1">
      <alignment vertical="center"/>
    </xf>
    <xf numFmtId="0" fontId="96" fillId="33" borderId="29" xfId="58" applyFont="1" applyFill="1" applyBorder="1" applyAlignment="1" applyProtection="1">
      <alignment horizontal="center" vertical="center"/>
    </xf>
    <xf numFmtId="0" fontId="96" fillId="34" borderId="78" xfId="58" applyFont="1" applyFill="1" applyBorder="1" applyAlignment="1" applyProtection="1">
      <alignment vertical="center"/>
    </xf>
    <xf numFmtId="0" fontId="96" fillId="34" borderId="10" xfId="58" applyFont="1" applyFill="1" applyBorder="1" applyAlignment="1" applyProtection="1">
      <alignment vertical="center"/>
    </xf>
    <xf numFmtId="0" fontId="96" fillId="34" borderId="10" xfId="58" applyFont="1" applyFill="1" applyBorder="1" applyProtection="1"/>
    <xf numFmtId="0" fontId="96" fillId="34" borderId="12" xfId="58" applyFont="1" applyFill="1" applyBorder="1" applyProtection="1"/>
    <xf numFmtId="0" fontId="96" fillId="0" borderId="29" xfId="58" applyFont="1" applyBorder="1" applyProtection="1"/>
    <xf numFmtId="2" fontId="96" fillId="34" borderId="12" xfId="58" applyNumberFormat="1" applyFont="1" applyFill="1" applyBorder="1" applyProtection="1"/>
    <xf numFmtId="2" fontId="96" fillId="0" borderId="29" xfId="58" applyNumberFormat="1" applyFont="1" applyBorder="1" applyProtection="1"/>
    <xf numFmtId="9" fontId="96" fillId="34" borderId="12" xfId="41" applyFont="1" applyFill="1" applyBorder="1" applyProtection="1"/>
    <xf numFmtId="10" fontId="96" fillId="0" borderId="29" xfId="41" applyNumberFormat="1" applyFont="1" applyBorder="1" applyProtection="1"/>
    <xf numFmtId="226" fontId="96" fillId="34" borderId="12" xfId="58" applyNumberFormat="1" applyFont="1" applyFill="1" applyBorder="1" applyProtection="1"/>
    <xf numFmtId="209" fontId="96" fillId="0" borderId="29" xfId="58" applyNumberFormat="1" applyFont="1" applyBorder="1" applyProtection="1"/>
    <xf numFmtId="2" fontId="96" fillId="43" borderId="29" xfId="58" applyNumberFormat="1" applyFont="1" applyFill="1" applyBorder="1" applyProtection="1"/>
    <xf numFmtId="209" fontId="96" fillId="0" borderId="29" xfId="58" applyNumberFormat="1" applyFont="1" applyFill="1" applyBorder="1" applyProtection="1"/>
    <xf numFmtId="10" fontId="96" fillId="34" borderId="12" xfId="58" applyNumberFormat="1" applyFont="1" applyFill="1" applyBorder="1" applyProtection="1"/>
    <xf numFmtId="10" fontId="96" fillId="0" borderId="29" xfId="58" applyNumberFormat="1" applyFont="1" applyBorder="1" applyProtection="1"/>
    <xf numFmtId="226" fontId="96" fillId="0" borderId="29" xfId="58" applyNumberFormat="1" applyFont="1" applyBorder="1" applyProtection="1"/>
    <xf numFmtId="226" fontId="96" fillId="44" borderId="29" xfId="58" applyNumberFormat="1" applyFont="1" applyFill="1" applyBorder="1" applyProtection="1"/>
    <xf numFmtId="0" fontId="221" fillId="33" borderId="78" xfId="58" applyFont="1" applyFill="1" applyBorder="1" applyAlignment="1" applyProtection="1">
      <alignment vertical="center"/>
    </xf>
    <xf numFmtId="0" fontId="125" fillId="33" borderId="10" xfId="58" applyFont="1" applyFill="1" applyBorder="1" applyAlignment="1" applyProtection="1">
      <alignment vertical="center"/>
    </xf>
    <xf numFmtId="0" fontId="125" fillId="33" borderId="10" xfId="58" applyFont="1" applyFill="1" applyBorder="1" applyProtection="1"/>
    <xf numFmtId="0" fontId="125" fillId="33" borderId="12" xfId="58" applyFont="1" applyFill="1" applyBorder="1" applyProtection="1"/>
    <xf numFmtId="0" fontId="125" fillId="0" borderId="13" xfId="58" applyFont="1" applyBorder="1" applyProtection="1"/>
    <xf numFmtId="0" fontId="125" fillId="0" borderId="29" xfId="58" applyFont="1" applyBorder="1" applyProtection="1"/>
    <xf numFmtId="0" fontId="96" fillId="34" borderId="80" xfId="58" applyFont="1" applyFill="1" applyBorder="1" applyAlignment="1" applyProtection="1">
      <alignment vertical="center"/>
    </xf>
    <xf numFmtId="0" fontId="96" fillId="34" borderId="82" xfId="58" applyFont="1" applyFill="1" applyBorder="1" applyAlignment="1" applyProtection="1">
      <alignment vertical="center"/>
    </xf>
    <xf numFmtId="0" fontId="96" fillId="34" borderId="82" xfId="58" applyFont="1" applyFill="1" applyBorder="1" applyProtection="1"/>
    <xf numFmtId="226" fontId="96" fillId="34" borderId="68" xfId="58" applyNumberFormat="1" applyFont="1" applyFill="1" applyBorder="1" applyProtection="1"/>
    <xf numFmtId="1" fontId="96" fillId="0" borderId="51" xfId="58" applyNumberFormat="1" applyFont="1" applyBorder="1" applyAlignment="1" applyProtection="1">
      <alignment horizontal="center"/>
    </xf>
    <xf numFmtId="227" fontId="96" fillId="0" borderId="32" xfId="58" applyNumberFormat="1" applyFont="1" applyFill="1" applyBorder="1" applyAlignment="1" applyProtection="1">
      <alignment vertical="center"/>
    </xf>
    <xf numFmtId="0" fontId="123" fillId="26" borderId="0" xfId="0" applyFont="1" applyFill="1" applyBorder="1"/>
    <xf numFmtId="0" fontId="123" fillId="26" borderId="0" xfId="0" applyFont="1" applyFill="1"/>
    <xf numFmtId="0" fontId="123" fillId="0" borderId="0" xfId="0" applyFont="1"/>
    <xf numFmtId="0" fontId="145" fillId="0" borderId="0" xfId="0" applyFont="1"/>
    <xf numFmtId="0" fontId="123" fillId="26" borderId="39" xfId="0" applyFont="1" applyFill="1" applyBorder="1"/>
    <xf numFmtId="0" fontId="123" fillId="26" borderId="40" xfId="0" applyFont="1" applyFill="1" applyBorder="1"/>
    <xf numFmtId="0" fontId="123" fillId="26" borderId="41" xfId="0" applyFont="1" applyFill="1" applyBorder="1"/>
    <xf numFmtId="0" fontId="222" fillId="29" borderId="33" xfId="0" applyFont="1" applyFill="1" applyBorder="1" applyAlignment="1">
      <alignment horizontal="center"/>
    </xf>
    <xf numFmtId="173" fontId="123" fillId="26" borderId="71" xfId="0" applyNumberFormat="1" applyFont="1" applyFill="1" applyBorder="1" applyAlignment="1">
      <alignment horizontal="center" vertical="center"/>
    </xf>
    <xf numFmtId="0" fontId="123" fillId="26" borderId="37" xfId="0" applyFont="1" applyFill="1" applyBorder="1"/>
    <xf numFmtId="0" fontId="123" fillId="26" borderId="38" xfId="0" applyFont="1" applyFill="1" applyBorder="1"/>
    <xf numFmtId="0" fontId="123" fillId="26" borderId="47" xfId="0" applyFont="1" applyFill="1" applyBorder="1"/>
    <xf numFmtId="0" fontId="123" fillId="26" borderId="11" xfId="0" applyFont="1" applyFill="1" applyBorder="1"/>
    <xf numFmtId="0" fontId="123" fillId="26" borderId="64" xfId="0" applyNumberFormat="1" applyFont="1" applyFill="1" applyBorder="1" applyAlignment="1">
      <alignment horizontal="center" vertical="center"/>
    </xf>
    <xf numFmtId="0" fontId="123" fillId="26" borderId="61" xfId="0" applyFont="1" applyFill="1" applyBorder="1"/>
    <xf numFmtId="0" fontId="95" fillId="26" borderId="39" xfId="0" applyFont="1" applyFill="1" applyBorder="1" applyAlignment="1">
      <alignment vertical="center"/>
    </xf>
    <xf numFmtId="192" fontId="123" fillId="26" borderId="40" xfId="0" applyNumberFormat="1" applyFont="1" applyFill="1" applyBorder="1"/>
    <xf numFmtId="0" fontId="123" fillId="32" borderId="37" xfId="0" applyFont="1" applyFill="1" applyBorder="1"/>
    <xf numFmtId="186" fontId="182" fillId="32" borderId="0" xfId="0" applyNumberFormat="1" applyFont="1" applyFill="1" applyBorder="1" applyAlignment="1">
      <alignment horizontal="center"/>
    </xf>
    <xf numFmtId="0" fontId="96" fillId="32" borderId="38" xfId="0" applyFont="1" applyFill="1" applyBorder="1"/>
    <xf numFmtId="0" fontId="95" fillId="32" borderId="37" xfId="0" applyFont="1" applyFill="1" applyBorder="1"/>
    <xf numFmtId="0" fontId="96" fillId="26" borderId="38" xfId="0" applyFont="1" applyFill="1" applyBorder="1"/>
    <xf numFmtId="14" fontId="205" fillId="26" borderId="53" xfId="0" applyNumberFormat="1" applyFont="1" applyFill="1" applyBorder="1" applyAlignment="1">
      <alignment horizontal="center"/>
    </xf>
    <xf numFmtId="0" fontId="205" fillId="26" borderId="54" xfId="0" applyFont="1" applyFill="1" applyBorder="1" applyAlignment="1">
      <alignment horizontal="center"/>
    </xf>
    <xf numFmtId="14" fontId="205" fillId="26" borderId="59" xfId="0" applyNumberFormat="1" applyFont="1" applyFill="1" applyBorder="1" applyAlignment="1">
      <alignment horizontal="center"/>
    </xf>
    <xf numFmtId="0" fontId="222" fillId="29" borderId="53" xfId="0" applyFont="1" applyFill="1" applyBorder="1" applyAlignment="1">
      <alignment horizontal="center" vertical="center"/>
    </xf>
    <xf numFmtId="0" fontId="205" fillId="29" borderId="33" xfId="0" applyFont="1" applyFill="1" applyBorder="1" applyAlignment="1">
      <alignment horizontal="center" vertical="center"/>
    </xf>
    <xf numFmtId="0" fontId="205" fillId="29" borderId="59" xfId="0" applyFont="1" applyFill="1" applyBorder="1" applyAlignment="1">
      <alignment horizontal="center" vertical="center"/>
    </xf>
    <xf numFmtId="0" fontId="123" fillId="0" borderId="37" xfId="0" applyFont="1" applyBorder="1" applyAlignment="1">
      <alignment horizontal="center"/>
    </xf>
    <xf numFmtId="2" fontId="123" fillId="0" borderId="27" xfId="0" applyNumberFormat="1" applyFont="1" applyBorder="1" applyAlignment="1">
      <alignment horizontal="center"/>
    </xf>
    <xf numFmtId="2" fontId="123" fillId="0" borderId="71" xfId="0" applyNumberFormat="1" applyFont="1" applyBorder="1" applyAlignment="1">
      <alignment horizontal="center"/>
    </xf>
    <xf numFmtId="0" fontId="123" fillId="0" borderId="79" xfId="0" applyFont="1" applyBorder="1" applyAlignment="1">
      <alignment horizontal="center"/>
    </xf>
    <xf numFmtId="1" fontId="123" fillId="0" borderId="72" xfId="0" applyNumberFormat="1" applyFont="1" applyBorder="1" applyAlignment="1">
      <alignment horizontal="center"/>
    </xf>
    <xf numFmtId="1" fontId="123" fillId="0" borderId="73" xfId="0" applyNumberFormat="1" applyFont="1" applyBorder="1" applyAlignment="1">
      <alignment horizontal="center"/>
    </xf>
    <xf numFmtId="0" fontId="223" fillId="32" borderId="78" xfId="0" applyFont="1" applyFill="1" applyBorder="1" applyAlignment="1">
      <alignment horizontal="right"/>
    </xf>
    <xf numFmtId="10" fontId="223" fillId="32" borderId="49" xfId="41" applyNumberFormat="1" applyFont="1" applyFill="1" applyBorder="1" applyAlignment="1">
      <alignment horizontal="right"/>
    </xf>
    <xf numFmtId="10" fontId="223" fillId="32" borderId="74" xfId="41" applyNumberFormat="1" applyFont="1" applyFill="1" applyBorder="1" applyAlignment="1">
      <alignment horizontal="right"/>
    </xf>
    <xf numFmtId="0" fontId="223" fillId="32" borderId="37" xfId="0" applyFont="1" applyFill="1" applyBorder="1" applyAlignment="1">
      <alignment horizontal="right"/>
    </xf>
    <xf numFmtId="2" fontId="223" fillId="32" borderId="0" xfId="41" applyNumberFormat="1" applyFont="1" applyFill="1" applyBorder="1" applyAlignment="1">
      <alignment horizontal="right"/>
    </xf>
    <xf numFmtId="10" fontId="223" fillId="32" borderId="0" xfId="41" applyNumberFormat="1" applyFont="1" applyFill="1" applyBorder="1" applyAlignment="1">
      <alignment horizontal="right"/>
    </xf>
    <xf numFmtId="10" fontId="223" fillId="32" borderId="38" xfId="41" applyNumberFormat="1" applyFont="1" applyFill="1" applyBorder="1" applyAlignment="1">
      <alignment horizontal="right"/>
    </xf>
    <xf numFmtId="0" fontId="223" fillId="32" borderId="0" xfId="41" applyNumberFormat="1" applyFont="1" applyFill="1" applyBorder="1" applyAlignment="1">
      <alignment horizontal="right"/>
    </xf>
    <xf numFmtId="0" fontId="222" fillId="29" borderId="33" xfId="0" applyFont="1" applyFill="1" applyBorder="1" applyAlignment="1">
      <alignment horizontal="center" vertical="center"/>
    </xf>
    <xf numFmtId="0" fontId="123" fillId="0" borderId="42" xfId="0" applyFont="1" applyBorder="1"/>
    <xf numFmtId="186" fontId="88" fillId="0" borderId="14" xfId="0" applyNumberFormat="1" applyFont="1" applyBorder="1" applyAlignment="1">
      <alignment horizontal="right"/>
    </xf>
    <xf numFmtId="186" fontId="88" fillId="0" borderId="60" xfId="0" applyNumberFormat="1" applyFont="1" applyBorder="1" applyAlignment="1">
      <alignment horizontal="right"/>
    </xf>
    <xf numFmtId="0" fontId="123" fillId="0" borderId="49" xfId="0" applyFont="1" applyBorder="1"/>
    <xf numFmtId="186" fontId="88" fillId="0" borderId="13" xfId="0" applyNumberFormat="1" applyFont="1" applyBorder="1" applyAlignment="1">
      <alignment horizontal="right"/>
    </xf>
    <xf numFmtId="186" fontId="182" fillId="0" borderId="13" xfId="0" applyNumberFormat="1" applyFont="1" applyBorder="1" applyAlignment="1">
      <alignment horizontal="right"/>
    </xf>
    <xf numFmtId="186" fontId="182" fillId="0" borderId="105" xfId="0" applyNumberFormat="1" applyFont="1" applyBorder="1" applyAlignment="1">
      <alignment horizontal="right"/>
    </xf>
    <xf numFmtId="0" fontId="123" fillId="0" borderId="39" xfId="0" applyFont="1" applyBorder="1"/>
    <xf numFmtId="186" fontId="182" fillId="0" borderId="65" xfId="0" applyNumberFormat="1" applyFont="1" applyBorder="1" applyAlignment="1">
      <alignment horizontal="right"/>
    </xf>
    <xf numFmtId="186" fontId="182" fillId="0" borderId="83" xfId="0" applyNumberFormat="1" applyFont="1" applyBorder="1" applyAlignment="1">
      <alignment horizontal="right"/>
    </xf>
    <xf numFmtId="186" fontId="182" fillId="0" borderId="66" xfId="0" applyNumberFormat="1" applyFont="1" applyBorder="1" applyAlignment="1">
      <alignment horizontal="right"/>
    </xf>
    <xf numFmtId="186" fontId="182" fillId="0" borderId="59" xfId="0" applyNumberFormat="1" applyFont="1" applyBorder="1" applyAlignment="1">
      <alignment horizontal="right"/>
    </xf>
    <xf numFmtId="0" fontId="89" fillId="26" borderId="0" xfId="0" applyFont="1" applyFill="1"/>
    <xf numFmtId="0" fontId="123" fillId="32" borderId="35" xfId="0" applyFont="1" applyFill="1" applyBorder="1"/>
    <xf numFmtId="186" fontId="182" fillId="32" borderId="36" xfId="0" applyNumberFormat="1" applyFont="1" applyFill="1" applyBorder="1" applyAlignment="1">
      <alignment horizontal="right"/>
    </xf>
    <xf numFmtId="186" fontId="182" fillId="32" borderId="52" xfId="0" applyNumberFormat="1" applyFont="1" applyFill="1" applyBorder="1" applyAlignment="1">
      <alignment horizontal="right"/>
    </xf>
    <xf numFmtId="0" fontId="123" fillId="32" borderId="78" xfId="0" applyFont="1" applyFill="1" applyBorder="1" applyAlignment="1">
      <alignment vertical="center"/>
    </xf>
    <xf numFmtId="186" fontId="182" fillId="32" borderId="10" xfId="0" applyNumberFormat="1" applyFont="1" applyFill="1" applyBorder="1" applyAlignment="1">
      <alignment horizontal="right" vertical="center"/>
    </xf>
    <xf numFmtId="186" fontId="182" fillId="32" borderId="12" xfId="0" applyNumberFormat="1" applyFont="1" applyFill="1" applyBorder="1" applyAlignment="1">
      <alignment horizontal="right" vertical="center"/>
    </xf>
    <xf numFmtId="0" fontId="123" fillId="32" borderId="0" xfId="0" applyFont="1" applyFill="1"/>
    <xf numFmtId="186" fontId="182" fillId="32" borderId="0" xfId="0" applyNumberFormat="1" applyFont="1" applyFill="1" applyBorder="1" applyAlignment="1">
      <alignment horizontal="right"/>
    </xf>
    <xf numFmtId="186" fontId="182" fillId="32" borderId="38" xfId="0" applyNumberFormat="1" applyFont="1" applyFill="1" applyBorder="1" applyAlignment="1">
      <alignment horizontal="right"/>
    </xf>
    <xf numFmtId="14" fontId="182" fillId="32" borderId="0" xfId="0" applyNumberFormat="1" applyFont="1" applyFill="1" applyBorder="1" applyAlignment="1">
      <alignment horizontal="right"/>
    </xf>
    <xf numFmtId="186" fontId="227" fillId="32" borderId="0" xfId="0" applyNumberFormat="1" applyFont="1" applyFill="1" applyBorder="1" applyAlignment="1">
      <alignment horizontal="center" vertical="center"/>
    </xf>
    <xf numFmtId="0" fontId="123" fillId="36" borderId="69" xfId="0" applyFont="1" applyFill="1" applyBorder="1"/>
    <xf numFmtId="186" fontId="182" fillId="36" borderId="77" xfId="0" applyNumberFormat="1" applyFont="1" applyFill="1" applyBorder="1" applyAlignment="1">
      <alignment horizontal="right"/>
    </xf>
    <xf numFmtId="186" fontId="182" fillId="32" borderId="26" xfId="0" applyNumberFormat="1" applyFont="1" applyFill="1" applyBorder="1" applyAlignment="1">
      <alignment horizontal="right"/>
    </xf>
    <xf numFmtId="0" fontId="123" fillId="32" borderId="39" xfId="0" applyFont="1" applyFill="1" applyBorder="1"/>
    <xf numFmtId="186" fontId="223" fillId="32" borderId="51" xfId="0" applyNumberFormat="1" applyFont="1" applyFill="1" applyBorder="1" applyAlignment="1">
      <alignment horizontal="right"/>
    </xf>
    <xf numFmtId="186" fontId="223" fillId="32" borderId="32" xfId="0" applyNumberFormat="1" applyFont="1" applyFill="1" applyBorder="1" applyAlignment="1">
      <alignment horizontal="right"/>
    </xf>
    <xf numFmtId="186" fontId="223" fillId="32" borderId="0" xfId="0" applyNumberFormat="1" applyFont="1" applyFill="1" applyBorder="1" applyAlignment="1">
      <alignment horizontal="right"/>
    </xf>
    <xf numFmtId="0" fontId="228" fillId="32" borderId="35" xfId="0" applyFont="1" applyFill="1" applyBorder="1" applyAlignment="1">
      <alignment horizontal="right" vertical="center"/>
    </xf>
    <xf numFmtId="14" fontId="229" fillId="32" borderId="0" xfId="0" applyNumberFormat="1" applyFont="1" applyFill="1" applyBorder="1" applyAlignment="1">
      <alignment horizontal="center" vertical="center"/>
    </xf>
    <xf numFmtId="0" fontId="228" fillId="32" borderId="0" xfId="0" applyFont="1" applyFill="1" applyBorder="1" applyAlignment="1">
      <alignment horizontal="center" vertical="center"/>
    </xf>
    <xf numFmtId="0" fontId="224" fillId="32" borderId="0" xfId="0" applyFont="1" applyFill="1" applyBorder="1" applyAlignment="1">
      <alignment horizontal="center" vertical="center"/>
    </xf>
    <xf numFmtId="0" fontId="224" fillId="32" borderId="38" xfId="0" applyFont="1" applyFill="1" applyBorder="1" applyAlignment="1">
      <alignment horizontal="center" vertical="center"/>
    </xf>
    <xf numFmtId="0" fontId="123" fillId="32" borderId="78" xfId="0" applyFont="1" applyFill="1" applyBorder="1"/>
    <xf numFmtId="186" fontId="182" fillId="32" borderId="10" xfId="0" applyNumberFormat="1" applyFont="1" applyFill="1" applyBorder="1" applyAlignment="1">
      <alignment horizontal="right"/>
    </xf>
    <xf numFmtId="186" fontId="182" fillId="32" borderId="12" xfId="0" applyNumberFormat="1" applyFont="1" applyFill="1" applyBorder="1" applyAlignment="1">
      <alignment horizontal="right"/>
    </xf>
    <xf numFmtId="0" fontId="123" fillId="32" borderId="0" xfId="0" applyFont="1" applyFill="1" applyBorder="1"/>
    <xf numFmtId="186" fontId="182" fillId="32" borderId="0" xfId="0" applyNumberFormat="1" applyFont="1" applyFill="1" applyBorder="1" applyAlignment="1">
      <alignment horizontal="left"/>
    </xf>
    <xf numFmtId="0" fontId="123" fillId="32" borderId="37" xfId="0" applyFont="1" applyFill="1" applyBorder="1" applyAlignment="1">
      <alignment horizontal="right"/>
    </xf>
    <xf numFmtId="14" fontId="182" fillId="32" borderId="13" xfId="0" applyNumberFormat="1" applyFont="1" applyFill="1" applyBorder="1" applyAlignment="1">
      <alignment horizontal="center"/>
    </xf>
    <xf numFmtId="177" fontId="182" fillId="32" borderId="13" xfId="0" applyNumberFormat="1" applyFont="1" applyFill="1" applyBorder="1" applyAlignment="1">
      <alignment horizontal="center"/>
    </xf>
    <xf numFmtId="7" fontId="182" fillId="32" borderId="13" xfId="0" applyNumberFormat="1" applyFont="1" applyFill="1" applyBorder="1" applyAlignment="1">
      <alignment horizontal="center"/>
    </xf>
    <xf numFmtId="234" fontId="182" fillId="32" borderId="13" xfId="0" applyNumberFormat="1" applyFont="1" applyFill="1" applyBorder="1" applyAlignment="1">
      <alignment horizontal="center"/>
    </xf>
    <xf numFmtId="270" fontId="182" fillId="32" borderId="29" xfId="0" applyNumberFormat="1" applyFont="1" applyFill="1" applyBorder="1" applyAlignment="1">
      <alignment horizontal="center"/>
    </xf>
    <xf numFmtId="0" fontId="123" fillId="32" borderId="40" xfId="0" applyFont="1" applyFill="1" applyBorder="1"/>
    <xf numFmtId="186" fontId="182" fillId="32" borderId="40" xfId="0" applyNumberFormat="1" applyFont="1" applyFill="1" applyBorder="1" applyAlignment="1">
      <alignment horizontal="right"/>
    </xf>
    <xf numFmtId="186" fontId="182" fillId="32" borderId="41" xfId="0" applyNumberFormat="1" applyFont="1" applyFill="1" applyBorder="1" applyAlignment="1">
      <alignment horizontal="right"/>
    </xf>
    <xf numFmtId="193" fontId="87" fillId="26" borderId="36" xfId="0" applyNumberFormat="1" applyFont="1" applyFill="1" applyBorder="1" applyAlignment="1" applyProtection="1">
      <alignment horizontal="center" vertical="center"/>
    </xf>
    <xf numFmtId="193" fontId="96" fillId="26" borderId="36" xfId="0" applyNumberFormat="1" applyFont="1" applyFill="1" applyBorder="1" applyAlignment="1" applyProtection="1">
      <alignment horizontal="center" vertical="center"/>
    </xf>
    <xf numFmtId="193" fontId="96" fillId="26" borderId="52" xfId="0" applyNumberFormat="1" applyFont="1" applyFill="1" applyBorder="1" applyAlignment="1" applyProtection="1">
      <alignment horizontal="center" vertical="center"/>
    </xf>
    <xf numFmtId="0" fontId="152" fillId="26" borderId="99" xfId="0" applyFont="1" applyFill="1" applyBorder="1" applyAlignment="1" applyProtection="1">
      <alignment vertical="center" wrapText="1"/>
    </xf>
    <xf numFmtId="187" fontId="125" fillId="26" borderId="13" xfId="0" applyNumberFormat="1" applyFont="1" applyFill="1" applyBorder="1"/>
    <xf numFmtId="186" fontId="125" fillId="26" borderId="29" xfId="0" applyNumberFormat="1" applyFont="1" applyFill="1" applyBorder="1"/>
    <xf numFmtId="0" fontId="153" fillId="26" borderId="56" xfId="0" applyFont="1" applyFill="1" applyBorder="1" applyAlignment="1" applyProtection="1">
      <alignment vertical="center" wrapText="1"/>
    </xf>
    <xf numFmtId="187" fontId="95" fillId="26" borderId="13" xfId="0" applyNumberFormat="1" applyFont="1" applyFill="1" applyBorder="1"/>
    <xf numFmtId="186" fontId="95" fillId="26" borderId="29" xfId="0" applyNumberFormat="1" applyFont="1" applyFill="1" applyBorder="1"/>
    <xf numFmtId="0" fontId="153" fillId="26" borderId="27" xfId="0" applyFont="1" applyFill="1" applyBorder="1" applyAlignment="1" applyProtection="1">
      <alignment vertical="center"/>
    </xf>
    <xf numFmtId="0" fontId="153" fillId="26" borderId="42" xfId="0" applyFont="1" applyFill="1" applyBorder="1" applyAlignment="1" applyProtection="1">
      <alignment vertical="center" wrapText="1"/>
    </xf>
    <xf numFmtId="185" fontId="125" fillId="26" borderId="13" xfId="32" applyNumberFormat="1" applyFont="1" applyFill="1" applyBorder="1"/>
    <xf numFmtId="184" fontId="125" fillId="26" borderId="29" xfId="32" applyFont="1" applyFill="1" applyBorder="1"/>
    <xf numFmtId="0" fontId="152" fillId="26" borderId="55" xfId="0" applyFont="1" applyFill="1" applyBorder="1" applyAlignment="1" applyProtection="1">
      <alignment vertical="center" wrapText="1"/>
    </xf>
    <xf numFmtId="0" fontId="153" fillId="26" borderId="27" xfId="0" applyFont="1" applyFill="1" applyBorder="1" applyAlignment="1" applyProtection="1">
      <alignment vertical="center" wrapText="1"/>
    </xf>
    <xf numFmtId="219" fontId="125" fillId="26" borderId="12" xfId="0" applyNumberFormat="1" applyFont="1" applyFill="1" applyBorder="1"/>
    <xf numFmtId="186" fontId="125" fillId="26" borderId="61" xfId="0" applyNumberFormat="1" applyFont="1" applyFill="1" applyBorder="1"/>
    <xf numFmtId="0" fontId="152" fillId="26" borderId="42" xfId="0" applyFont="1" applyFill="1" applyBorder="1" applyAlignment="1" applyProtection="1">
      <alignment vertical="center" wrapText="1"/>
    </xf>
    <xf numFmtId="187" fontId="125" fillId="26" borderId="14" xfId="0" applyNumberFormat="1" applyFont="1" applyFill="1" applyBorder="1"/>
    <xf numFmtId="186" fontId="125" fillId="26" borderId="60" xfId="0" applyNumberFormat="1" applyFont="1" applyFill="1" applyBorder="1"/>
    <xf numFmtId="0" fontId="152" fillId="26" borderId="57" xfId="0" applyFont="1" applyFill="1" applyBorder="1" applyAlignment="1" applyProtection="1">
      <alignment vertical="center" wrapText="1"/>
    </xf>
    <xf numFmtId="235" fontId="90" fillId="26" borderId="42" xfId="0" applyNumberFormat="1" applyFont="1" applyFill="1" applyBorder="1" applyAlignment="1" applyProtection="1">
      <alignment vertical="center" wrapText="1"/>
    </xf>
    <xf numFmtId="187" fontId="125" fillId="29" borderId="13" xfId="0" applyNumberFormat="1" applyFont="1" applyFill="1" applyBorder="1"/>
    <xf numFmtId="186" fontId="125" fillId="29" borderId="29" xfId="0" applyNumberFormat="1" applyFont="1" applyFill="1" applyBorder="1"/>
    <xf numFmtId="0" fontId="231" fillId="26" borderId="55" xfId="0" applyFont="1" applyFill="1" applyBorder="1" applyAlignment="1" applyProtection="1">
      <alignment vertical="center" wrapText="1"/>
    </xf>
    <xf numFmtId="0" fontId="153" fillId="26" borderId="56" xfId="0" applyFont="1" applyFill="1" applyBorder="1" applyAlignment="1" applyProtection="1">
      <alignment wrapText="1"/>
    </xf>
    <xf numFmtId="5" fontId="125" fillId="26" borderId="34" xfId="55" applyNumberFormat="1" applyFont="1" applyFill="1" applyBorder="1"/>
    <xf numFmtId="186" fontId="125" fillId="26" borderId="58" xfId="0" applyNumberFormat="1" applyFont="1" applyFill="1" applyBorder="1"/>
    <xf numFmtId="0" fontId="153" fillId="26" borderId="27" xfId="0" applyFont="1" applyFill="1" applyBorder="1" applyAlignment="1" applyProtection="1">
      <alignment wrapText="1"/>
    </xf>
    <xf numFmtId="187" fontId="125" fillId="26" borderId="33" xfId="55" applyNumberFormat="1" applyFont="1" applyFill="1" applyBorder="1"/>
    <xf numFmtId="214" fontId="94" fillId="26" borderId="42" xfId="0" applyNumberFormat="1" applyFont="1" applyFill="1" applyBorder="1" applyAlignment="1" applyProtection="1">
      <alignment horizontal="left" vertical="center" wrapText="1"/>
    </xf>
    <xf numFmtId="0" fontId="153" fillId="26" borderId="0" xfId="0" applyFont="1" applyFill="1" applyBorder="1" applyAlignment="1" applyProtection="1">
      <alignment horizontal="left" vertical="center" wrapText="1"/>
    </xf>
    <xf numFmtId="2" fontId="232" fillId="26" borderId="36" xfId="0" applyNumberFormat="1" applyFont="1" applyFill="1" applyBorder="1" applyAlignment="1">
      <alignment horizontal="center"/>
    </xf>
    <xf numFmtId="0" fontId="153" fillId="26" borderId="63" xfId="0" applyFont="1" applyFill="1" applyBorder="1" applyAlignment="1" applyProtection="1">
      <alignment wrapText="1"/>
    </xf>
    <xf numFmtId="232" fontId="234" fillId="32" borderId="0" xfId="0" applyNumberFormat="1" applyFont="1" applyFill="1" applyBorder="1" applyAlignment="1">
      <alignment horizontal="right" vertical="center"/>
    </xf>
    <xf numFmtId="217" fontId="234" fillId="32" borderId="0" xfId="55" applyNumberFormat="1" applyFont="1" applyFill="1" applyBorder="1" applyAlignment="1">
      <alignment horizontal="right" vertical="center"/>
    </xf>
    <xf numFmtId="0" fontId="233" fillId="32" borderId="38" xfId="0" applyFont="1" applyFill="1" applyBorder="1"/>
    <xf numFmtId="0" fontId="125" fillId="26" borderId="64" xfId="0" applyFont="1" applyFill="1" applyBorder="1" applyAlignment="1" applyProtection="1">
      <alignment vertical="center"/>
    </xf>
    <xf numFmtId="230" fontId="234" fillId="32" borderId="40" xfId="0" applyNumberFormat="1" applyFont="1" applyFill="1" applyBorder="1" applyAlignment="1">
      <alignment horizontal="right" vertical="center"/>
    </xf>
    <xf numFmtId="233" fontId="234" fillId="32" borderId="40" xfId="0" applyNumberFormat="1" applyFont="1" applyFill="1" applyBorder="1" applyAlignment="1">
      <alignment vertical="center"/>
    </xf>
    <xf numFmtId="0" fontId="233" fillId="32" borderId="41" xfId="0" applyFont="1" applyFill="1" applyBorder="1"/>
    <xf numFmtId="0" fontId="123" fillId="26" borderId="36" xfId="0" applyFont="1" applyFill="1" applyBorder="1"/>
    <xf numFmtId="0" fontId="96" fillId="32" borderId="0" xfId="0" applyFont="1" applyFill="1" applyBorder="1"/>
    <xf numFmtId="0" fontId="123" fillId="32" borderId="0" xfId="0" applyFont="1" applyFill="1" applyBorder="1" applyAlignment="1">
      <alignment horizontal="center"/>
    </xf>
    <xf numFmtId="179" fontId="182" fillId="32" borderId="0" xfId="0" applyNumberFormat="1" applyFont="1" applyFill="1" applyBorder="1" applyAlignment="1" applyProtection="1">
      <alignment horizontal="center" vertical="center" shrinkToFit="1"/>
      <protection locked="0"/>
    </xf>
    <xf numFmtId="14" fontId="123" fillId="32" borderId="0" xfId="0" applyNumberFormat="1" applyFont="1" applyFill="1" applyBorder="1" applyAlignment="1">
      <alignment horizontal="center"/>
    </xf>
    <xf numFmtId="0" fontId="96" fillId="32" borderId="0" xfId="90" applyFont="1" applyFill="1"/>
    <xf numFmtId="0" fontId="88" fillId="32" borderId="0" xfId="90" applyFont="1" applyFill="1"/>
    <xf numFmtId="0" fontId="125" fillId="32" borderId="13" xfId="90" applyFont="1" applyFill="1" applyBorder="1" applyAlignment="1">
      <alignment horizontal="center" vertical="center"/>
    </xf>
    <xf numFmtId="0" fontId="152" fillId="37" borderId="0" xfId="0" applyFont="1" applyFill="1" applyAlignment="1" applyProtection="1">
      <alignment horizontal="center"/>
    </xf>
    <xf numFmtId="0" fontId="124" fillId="0" borderId="0" xfId="0" quotePrefix="1" applyFont="1" applyAlignment="1" applyProtection="1">
      <alignment vertical="center"/>
    </xf>
    <xf numFmtId="0" fontId="182" fillId="58" borderId="15" xfId="90" applyFont="1" applyFill="1" applyBorder="1" applyAlignment="1" applyProtection="1">
      <protection locked="0"/>
    </xf>
    <xf numFmtId="0" fontId="96" fillId="59" borderId="10" xfId="90" applyFont="1" applyFill="1" applyBorder="1" applyAlignment="1" applyProtection="1">
      <protection locked="0"/>
    </xf>
    <xf numFmtId="0" fontId="96" fillId="59" borderId="12" xfId="90" applyFont="1" applyFill="1" applyBorder="1" applyAlignment="1" applyProtection="1">
      <protection locked="0"/>
    </xf>
    <xf numFmtId="173" fontId="96" fillId="32" borderId="13" xfId="90" applyNumberFormat="1" applyFont="1" applyFill="1" applyBorder="1" applyAlignment="1">
      <alignment horizontal="center" vertical="center"/>
    </xf>
    <xf numFmtId="0" fontId="152" fillId="47" borderId="0" xfId="90" applyFont="1" applyFill="1" applyAlignment="1" applyProtection="1">
      <alignment horizontal="center"/>
    </xf>
    <xf numFmtId="0" fontId="124" fillId="32" borderId="0" xfId="90" quotePrefix="1" applyFont="1" applyFill="1" applyAlignment="1" applyProtection="1">
      <alignment vertical="center"/>
    </xf>
    <xf numFmtId="0" fontId="182" fillId="54" borderId="15" xfId="90" applyFont="1" applyFill="1" applyBorder="1" applyAlignment="1" applyProtection="1">
      <alignment vertical="center"/>
      <protection locked="0"/>
    </xf>
    <xf numFmtId="0" fontId="96" fillId="24" borderId="10" xfId="90" applyFont="1" applyFill="1" applyBorder="1" applyAlignment="1" applyProtection="1">
      <protection locked="0"/>
    </xf>
    <xf numFmtId="0" fontId="96" fillId="24" borderId="12" xfId="90" applyFont="1" applyFill="1" applyBorder="1" applyAlignment="1" applyProtection="1">
      <protection locked="0"/>
    </xf>
    <xf numFmtId="0" fontId="152" fillId="40" borderId="0" xfId="90" applyFont="1" applyFill="1" applyAlignment="1" applyProtection="1">
      <alignment horizontal="center"/>
    </xf>
    <xf numFmtId="0" fontId="152" fillId="32" borderId="0" xfId="90" applyFont="1" applyFill="1" applyAlignment="1" applyProtection="1">
      <alignment horizontal="center"/>
    </xf>
    <xf numFmtId="0" fontId="182" fillId="58" borderId="13" xfId="90" applyFont="1" applyFill="1" applyBorder="1" applyAlignment="1" applyProtection="1">
      <alignment horizontal="left"/>
      <protection locked="0"/>
    </xf>
    <xf numFmtId="0" fontId="124" fillId="32" borderId="0" xfId="90" applyFont="1" applyFill="1" applyAlignment="1" applyProtection="1">
      <alignment vertical="top"/>
    </xf>
    <xf numFmtId="0" fontId="96" fillId="32" borderId="0" xfId="90" applyFont="1" applyFill="1" applyBorder="1" applyAlignment="1" applyProtection="1">
      <alignment vertical="top"/>
    </xf>
    <xf numFmtId="0" fontId="182" fillId="59" borderId="13" xfId="90" applyFont="1" applyFill="1" applyBorder="1" applyAlignment="1" applyProtection="1">
      <alignment vertical="center"/>
      <protection locked="0"/>
    </xf>
    <xf numFmtId="0" fontId="96" fillId="34" borderId="0" xfId="90" applyFont="1" applyFill="1" applyAlignment="1">
      <alignment horizontal="center" vertical="center"/>
    </xf>
    <xf numFmtId="14" fontId="96" fillId="37" borderId="0" xfId="90" applyNumberFormat="1" applyFont="1" applyFill="1" applyAlignment="1">
      <alignment horizontal="center" vertical="center"/>
    </xf>
    <xf numFmtId="0" fontId="205" fillId="55" borderId="0" xfId="90" applyFont="1" applyFill="1"/>
    <xf numFmtId="0" fontId="96" fillId="55" borderId="0" xfId="90" applyFont="1" applyFill="1"/>
    <xf numFmtId="0" fontId="125" fillId="55" borderId="0" xfId="90" applyFont="1" applyFill="1"/>
    <xf numFmtId="0" fontId="125" fillId="55" borderId="230" xfId="90" applyFont="1" applyFill="1" applyBorder="1" applyAlignment="1">
      <alignment horizontal="center"/>
    </xf>
    <xf numFmtId="0" fontId="125" fillId="55" borderId="126" xfId="90" applyFont="1" applyFill="1" applyBorder="1" applyAlignment="1">
      <alignment horizontal="center"/>
    </xf>
    <xf numFmtId="0" fontId="125" fillId="55" borderId="227" xfId="90" applyFont="1" applyFill="1" applyBorder="1" applyAlignment="1">
      <alignment horizontal="center"/>
    </xf>
    <xf numFmtId="227" fontId="96" fillId="40" borderId="164" xfId="90" applyNumberFormat="1" applyFont="1" applyFill="1" applyBorder="1"/>
    <xf numFmtId="227" fontId="165" fillId="40" borderId="221" xfId="90" applyNumberFormat="1" applyFont="1" applyFill="1" applyBorder="1"/>
    <xf numFmtId="0" fontId="96" fillId="40" borderId="164" xfId="90" applyFont="1" applyFill="1" applyBorder="1"/>
    <xf numFmtId="0" fontId="128" fillId="56" borderId="221" xfId="90" applyFont="1" applyFill="1" applyBorder="1"/>
    <xf numFmtId="0" fontId="139" fillId="32" borderId="0" xfId="90" applyFont="1" applyFill="1"/>
    <xf numFmtId="2" fontId="96" fillId="55" borderId="231" xfId="90" applyNumberFormat="1" applyFont="1" applyFill="1" applyBorder="1"/>
    <xf numFmtId="2" fontId="96" fillId="55" borderId="209" xfId="90" applyNumberFormat="1" applyFont="1" applyFill="1" applyBorder="1"/>
    <xf numFmtId="0" fontId="96" fillId="60" borderId="232" xfId="90" applyFont="1" applyFill="1" applyBorder="1"/>
    <xf numFmtId="2" fontId="96" fillId="40" borderId="231" xfId="90" applyNumberFormat="1" applyFont="1" applyFill="1" applyBorder="1"/>
    <xf numFmtId="2" fontId="96" fillId="40" borderId="232" xfId="90" applyNumberFormat="1" applyFont="1" applyFill="1" applyBorder="1"/>
    <xf numFmtId="10" fontId="96" fillId="40" borderId="233" xfId="41" applyNumberFormat="1" applyFont="1" applyFill="1" applyBorder="1"/>
    <xf numFmtId="10" fontId="96" fillId="40" borderId="222" xfId="90" applyNumberFormat="1" applyFont="1" applyFill="1" applyBorder="1"/>
    <xf numFmtId="10" fontId="96" fillId="35" borderId="13" xfId="41" applyNumberFormat="1" applyFont="1" applyFill="1" applyBorder="1"/>
    <xf numFmtId="0" fontId="88" fillId="55" borderId="0" xfId="90" applyFont="1" applyFill="1"/>
    <xf numFmtId="0" fontId="125" fillId="55" borderId="0" xfId="90" applyFont="1" applyFill="1" applyAlignment="1">
      <alignment wrapText="1"/>
    </xf>
    <xf numFmtId="217" fontId="96" fillId="55" borderId="0" xfId="55" applyNumberFormat="1" applyFont="1" applyFill="1"/>
    <xf numFmtId="0" fontId="96" fillId="55" borderId="0" xfId="90" applyFont="1" applyFill="1" applyAlignment="1">
      <alignment wrapText="1"/>
    </xf>
    <xf numFmtId="217" fontId="96" fillId="40" borderId="0" xfId="55" applyNumberFormat="1" applyFont="1" applyFill="1"/>
    <xf numFmtId="198" fontId="96" fillId="37" borderId="234" xfId="90" applyNumberFormat="1" applyFont="1" applyFill="1" applyBorder="1" applyAlignment="1">
      <alignment horizontal="center"/>
    </xf>
    <xf numFmtId="191" fontId="130" fillId="37" borderId="234" xfId="90" applyNumberFormat="1" applyFont="1" applyFill="1" applyBorder="1" applyAlignment="1">
      <alignment horizontal="center"/>
    </xf>
    <xf numFmtId="217" fontId="96" fillId="35" borderId="0" xfId="55" applyNumberFormat="1" applyFont="1" applyFill="1"/>
    <xf numFmtId="217" fontId="96" fillId="55" borderId="0" xfId="90" applyNumberFormat="1" applyFont="1" applyFill="1"/>
    <xf numFmtId="217" fontId="130" fillId="55" borderId="0" xfId="90" applyNumberFormat="1" applyFont="1" applyFill="1"/>
    <xf numFmtId="217" fontId="235" fillId="55" borderId="0" xfId="90" applyNumberFormat="1" applyFont="1" applyFill="1"/>
    <xf numFmtId="0" fontId="96" fillId="55" borderId="0" xfId="90" applyFont="1" applyFill="1" applyBorder="1"/>
    <xf numFmtId="0" fontId="125" fillId="55" borderId="0" xfId="90" applyFont="1" applyFill="1" applyBorder="1"/>
    <xf numFmtId="0" fontId="125" fillId="55" borderId="0" xfId="90" applyFont="1" applyFill="1" applyBorder="1" applyAlignment="1">
      <alignment horizontal="center"/>
    </xf>
    <xf numFmtId="227" fontId="96" fillId="55" borderId="0" xfId="90" applyNumberFormat="1" applyFont="1" applyFill="1" applyBorder="1"/>
    <xf numFmtId="227" fontId="165" fillId="55" borderId="0" xfId="90" applyNumberFormat="1" applyFont="1" applyFill="1" applyBorder="1"/>
    <xf numFmtId="2" fontId="96" fillId="55" borderId="0" xfId="90" applyNumberFormat="1" applyFont="1" applyFill="1" applyBorder="1"/>
    <xf numFmtId="217" fontId="125" fillId="55" borderId="21" xfId="90" applyNumberFormat="1" applyFont="1" applyFill="1" applyBorder="1"/>
    <xf numFmtId="217" fontId="125" fillId="55" borderId="0" xfId="90" applyNumberFormat="1" applyFont="1" applyFill="1"/>
    <xf numFmtId="0" fontId="125" fillId="33" borderId="0" xfId="90" applyFont="1" applyFill="1" applyBorder="1"/>
    <xf numFmtId="217" fontId="96" fillId="33" borderId="0" xfId="90" applyNumberFormat="1" applyFont="1" applyFill="1"/>
    <xf numFmtId="0" fontId="96" fillId="33" borderId="0" xfId="90" applyFont="1" applyFill="1"/>
    <xf numFmtId="217" fontId="236" fillId="33" borderId="0" xfId="90" applyNumberFormat="1" applyFont="1" applyFill="1"/>
    <xf numFmtId="0" fontId="237" fillId="32" borderId="0" xfId="90" applyFont="1" applyFill="1" applyAlignment="1"/>
    <xf numFmtId="0" fontId="237" fillId="33" borderId="0" xfId="90" applyFont="1" applyFill="1" applyAlignment="1">
      <alignment horizontal="center"/>
    </xf>
    <xf numFmtId="0" fontId="237" fillId="33" borderId="0" xfId="90" applyFont="1" applyFill="1" applyAlignment="1">
      <alignment vertical="center"/>
    </xf>
    <xf numFmtId="0" fontId="171" fillId="33" borderId="0" xfId="90" applyFont="1" applyFill="1" applyAlignment="1">
      <alignment horizontal="center"/>
    </xf>
    <xf numFmtId="0" fontId="165" fillId="33" borderId="0" xfId="90" applyFont="1" applyFill="1"/>
    <xf numFmtId="217" fontId="238" fillId="33" borderId="0" xfId="90" applyNumberFormat="1" applyFont="1" applyFill="1"/>
    <xf numFmtId="0" fontId="239" fillId="33" borderId="0" xfId="90" applyFont="1" applyFill="1" applyAlignment="1">
      <alignment vertical="center"/>
    </xf>
    <xf numFmtId="217" fontId="240" fillId="33" borderId="0" xfId="90" applyNumberFormat="1" applyFont="1" applyFill="1"/>
    <xf numFmtId="0" fontId="86" fillId="0" borderId="36" xfId="0" applyFont="1" applyBorder="1" applyAlignment="1" applyProtection="1">
      <alignment horizontal="centerContinuous"/>
    </xf>
    <xf numFmtId="0" fontId="96" fillId="0" borderId="36" xfId="0" applyFont="1" applyBorder="1" applyProtection="1"/>
    <xf numFmtId="0" fontId="241" fillId="0" borderId="36" xfId="0" applyFont="1" applyBorder="1" applyAlignment="1" applyProtection="1">
      <alignment horizontal="left"/>
    </xf>
    <xf numFmtId="0" fontId="202" fillId="0" borderId="0" xfId="0" applyFont="1" applyProtection="1"/>
    <xf numFmtId="0" fontId="242" fillId="0" borderId="0" xfId="0" applyFont="1" applyAlignment="1" applyProtection="1">
      <alignment horizontal="center"/>
    </xf>
    <xf numFmtId="14" fontId="96" fillId="0" borderId="0" xfId="0" applyNumberFormat="1" applyFont="1" applyProtection="1"/>
    <xf numFmtId="0" fontId="96" fillId="0" borderId="37" xfId="0" applyFont="1" applyBorder="1" applyAlignment="1" applyProtection="1">
      <alignment vertical="center"/>
    </xf>
    <xf numFmtId="0" fontId="139" fillId="0" borderId="0" xfId="0" applyFont="1" applyBorder="1" applyAlignment="1" applyProtection="1">
      <alignment horizontal="centerContinuous" vertical="center" wrapText="1"/>
    </xf>
    <xf numFmtId="0" fontId="241" fillId="0" borderId="0" xfId="0" applyFont="1" applyBorder="1" applyAlignment="1" applyProtection="1">
      <alignment horizontal="centerContinuous" vertical="center" wrapText="1"/>
    </xf>
    <xf numFmtId="0" fontId="86" fillId="0" borderId="0" xfId="0" applyFont="1" applyBorder="1" applyAlignment="1" applyProtection="1">
      <alignment horizontal="centerContinuous" vertical="center" wrapText="1"/>
    </xf>
    <xf numFmtId="0" fontId="86" fillId="0" borderId="38" xfId="0" applyFont="1" applyBorder="1" applyAlignment="1" applyProtection="1">
      <alignment horizontal="centerContinuous" vertical="center" wrapText="1"/>
    </xf>
    <xf numFmtId="0" fontId="139" fillId="0" borderId="0" xfId="0" applyFont="1" applyBorder="1" applyProtection="1"/>
    <xf numFmtId="0" fontId="96" fillId="0" borderId="38" xfId="0" applyFont="1" applyBorder="1" applyProtection="1"/>
    <xf numFmtId="0" fontId="139" fillId="0" borderId="15" xfId="0" applyFont="1" applyBorder="1" applyProtection="1"/>
    <xf numFmtId="0" fontId="139" fillId="0" borderId="12" xfId="0" applyFont="1" applyBorder="1" applyAlignment="1" applyProtection="1">
      <alignment horizontal="centerContinuous"/>
    </xf>
    <xf numFmtId="0" fontId="139" fillId="0" borderId="15" xfId="0" applyFont="1" applyBorder="1" applyAlignment="1" applyProtection="1"/>
    <xf numFmtId="0" fontId="96" fillId="0" borderId="10" xfId="0" applyFont="1" applyBorder="1" applyAlignment="1" applyProtection="1">
      <alignment horizontal="centerContinuous"/>
    </xf>
    <xf numFmtId="0" fontId="96" fillId="0" borderId="105" xfId="0" applyFont="1" applyBorder="1" applyAlignment="1" applyProtection="1">
      <alignment horizontal="centerContinuous"/>
    </xf>
    <xf numFmtId="0" fontId="139" fillId="26" borderId="0" xfId="0" applyFont="1" applyFill="1" applyBorder="1" applyAlignment="1" applyProtection="1">
      <alignment horizontal="center" vertical="center" wrapText="1"/>
    </xf>
    <xf numFmtId="0" fontId="139" fillId="0" borderId="45" xfId="0" applyFont="1" applyBorder="1" applyProtection="1"/>
    <xf numFmtId="0" fontId="182" fillId="32" borderId="11" xfId="0" applyFont="1" applyFill="1" applyBorder="1" applyProtection="1"/>
    <xf numFmtId="0" fontId="182" fillId="32" borderId="46" xfId="0" applyFont="1" applyFill="1" applyBorder="1" applyProtection="1"/>
    <xf numFmtId="0" fontId="182" fillId="32" borderId="10" xfId="0" applyFont="1" applyFill="1" applyBorder="1" applyProtection="1"/>
    <xf numFmtId="0" fontId="182" fillId="32" borderId="105" xfId="0" applyFont="1" applyFill="1" applyBorder="1" applyProtection="1"/>
    <xf numFmtId="0" fontId="139" fillId="26" borderId="0" xfId="0" applyFont="1" applyFill="1" applyBorder="1" applyAlignment="1" applyProtection="1">
      <alignment horizontal="center" vertical="center"/>
    </xf>
    <xf numFmtId="0" fontId="182" fillId="32" borderId="12" xfId="0" applyFont="1" applyFill="1" applyBorder="1" applyAlignment="1" applyProtection="1">
      <alignment horizontal="center"/>
    </xf>
    <xf numFmtId="0" fontId="182" fillId="32" borderId="61" xfId="0" applyFont="1" applyFill="1" applyBorder="1" applyProtection="1"/>
    <xf numFmtId="0" fontId="182" fillId="26" borderId="0" xfId="0" applyFont="1" applyFill="1" applyBorder="1" applyAlignment="1" applyProtection="1">
      <alignment horizontal="center" vertical="center"/>
    </xf>
    <xf numFmtId="0" fontId="96" fillId="0" borderId="0" xfId="0" applyFont="1" applyBorder="1" applyAlignment="1" applyProtection="1">
      <alignment vertical="center"/>
    </xf>
    <xf numFmtId="0" fontId="96" fillId="0" borderId="0" xfId="0" applyFont="1" applyBorder="1" applyAlignment="1" applyProtection="1">
      <alignment vertical="top"/>
    </xf>
    <xf numFmtId="0" fontId="124" fillId="0" borderId="0" xfId="0" applyFont="1" applyBorder="1" applyAlignment="1" applyProtection="1">
      <alignment vertical="center"/>
    </xf>
    <xf numFmtId="0" fontId="88" fillId="32" borderId="13" xfId="0" applyFont="1" applyFill="1" applyBorder="1" applyAlignment="1" applyProtection="1">
      <alignment horizontal="center" vertical="center"/>
    </xf>
    <xf numFmtId="0" fontId="182" fillId="32" borderId="29" xfId="0" applyFont="1" applyFill="1" applyBorder="1" applyAlignment="1" applyProtection="1">
      <alignment vertical="center"/>
    </xf>
    <xf numFmtId="0" fontId="128" fillId="0" borderId="0" xfId="0" applyFont="1" applyBorder="1" applyAlignment="1" applyProtection="1">
      <alignment vertical="center"/>
    </xf>
    <xf numFmtId="0" fontId="234" fillId="0" borderId="0" xfId="0" applyFont="1" applyBorder="1" applyAlignment="1" applyProtection="1">
      <alignment vertical="center"/>
    </xf>
    <xf numFmtId="0" fontId="182" fillId="32" borderId="58" xfId="0" applyNumberFormat="1" applyFont="1" applyFill="1" applyBorder="1" applyAlignment="1" applyProtection="1">
      <alignment vertical="center"/>
    </xf>
    <xf numFmtId="1" fontId="243" fillId="32" borderId="0" xfId="0" applyNumberFormat="1" applyFont="1" applyFill="1" applyBorder="1" applyAlignment="1" applyProtection="1">
      <alignment horizontal="left" vertical="center"/>
    </xf>
    <xf numFmtId="186" fontId="243" fillId="32" borderId="0" xfId="0" applyNumberFormat="1" applyFont="1" applyFill="1" applyBorder="1" applyAlignment="1" applyProtection="1">
      <alignment horizontal="center" vertical="center"/>
    </xf>
    <xf numFmtId="173" fontId="191" fillId="32" borderId="46" xfId="0" applyNumberFormat="1" applyFont="1" applyFill="1" applyBorder="1" applyAlignment="1" applyProtection="1">
      <alignment vertical="center"/>
    </xf>
    <xf numFmtId="0" fontId="191" fillId="32" borderId="29" xfId="0" applyNumberFormat="1" applyFont="1" applyFill="1" applyBorder="1" applyAlignment="1" applyProtection="1">
      <alignment vertical="center"/>
    </xf>
    <xf numFmtId="10" fontId="243" fillId="32" borderId="0" xfId="0" applyNumberFormat="1" applyFont="1" applyFill="1" applyBorder="1" applyAlignment="1" applyProtection="1">
      <alignment horizontal="left" vertical="center" wrapText="1"/>
    </xf>
    <xf numFmtId="0" fontId="88" fillId="32" borderId="34" xfId="0" applyFont="1" applyFill="1" applyBorder="1" applyAlignment="1" applyProtection="1">
      <alignment horizontal="center" vertical="center"/>
    </xf>
    <xf numFmtId="0" fontId="124" fillId="0" borderId="0" xfId="0" applyFont="1" applyFill="1" applyBorder="1" applyAlignment="1" applyProtection="1">
      <alignment vertical="center"/>
    </xf>
    <xf numFmtId="14" fontId="243" fillId="32" borderId="0" xfId="0" applyNumberFormat="1" applyFont="1" applyFill="1" applyBorder="1" applyAlignment="1" applyProtection="1">
      <alignment horizontal="center" vertical="center"/>
    </xf>
    <xf numFmtId="0" fontId="88" fillId="32" borderId="13" xfId="0" applyNumberFormat="1" applyFont="1" applyFill="1" applyBorder="1" applyAlignment="1" applyProtection="1">
      <alignment horizontal="center" vertical="center"/>
    </xf>
    <xf numFmtId="0" fontId="88" fillId="0" borderId="0" xfId="0" applyFont="1" applyBorder="1" applyAlignment="1" applyProtection="1">
      <alignment vertical="center"/>
    </xf>
    <xf numFmtId="10" fontId="88" fillId="32" borderId="13" xfId="41" applyNumberFormat="1" applyFont="1" applyFill="1" applyBorder="1" applyAlignment="1" applyProtection="1">
      <alignment horizontal="center" vertical="center"/>
    </xf>
    <xf numFmtId="0" fontId="177" fillId="0" borderId="0" xfId="0" applyFont="1" applyBorder="1" applyAlignment="1" applyProtection="1">
      <alignment vertical="center" wrapText="1"/>
    </xf>
    <xf numFmtId="0" fontId="177" fillId="0" borderId="38" xfId="0" applyFont="1" applyBorder="1" applyAlignment="1" applyProtection="1">
      <alignment vertical="center" wrapText="1"/>
    </xf>
    <xf numFmtId="0" fontId="244" fillId="0" borderId="0" xfId="0" applyFont="1" applyBorder="1" applyProtection="1"/>
    <xf numFmtId="0" fontId="96" fillId="0" borderId="0" xfId="0" applyFont="1" applyBorder="1" applyAlignment="1" applyProtection="1">
      <alignment horizontal="center"/>
    </xf>
    <xf numFmtId="14" fontId="174" fillId="26" borderId="0" xfId="0" applyNumberFormat="1" applyFont="1" applyFill="1" applyProtection="1"/>
    <xf numFmtId="0" fontId="96" fillId="0" borderId="0" xfId="0" applyNumberFormat="1" applyFont="1" applyProtection="1"/>
    <xf numFmtId="0" fontId="139" fillId="0" borderId="0" xfId="0" applyFont="1" applyBorder="1" applyAlignment="1" applyProtection="1">
      <alignment vertical="center"/>
    </xf>
    <xf numFmtId="179" fontId="125" fillId="32" borderId="29" xfId="0" applyNumberFormat="1" applyFont="1" applyFill="1" applyBorder="1" applyAlignment="1" applyProtection="1">
      <alignment vertical="center"/>
    </xf>
    <xf numFmtId="14" fontId="174" fillId="26" borderId="0" xfId="0" applyNumberFormat="1" applyFont="1" applyFill="1" applyAlignment="1" applyProtection="1">
      <alignment vertical="center"/>
    </xf>
    <xf numFmtId="195" fontId="96" fillId="0" borderId="0" xfId="0" applyNumberFormat="1" applyFont="1" applyAlignment="1" applyProtection="1">
      <alignment vertical="center"/>
    </xf>
    <xf numFmtId="14" fontId="96" fillId="0" borderId="0" xfId="0" applyNumberFormat="1" applyFont="1" applyAlignment="1" applyProtection="1">
      <alignment vertical="center"/>
    </xf>
    <xf numFmtId="0" fontId="96" fillId="0" borderId="0" xfId="0" applyNumberFormat="1" applyFont="1" applyAlignment="1" applyProtection="1">
      <alignment vertical="center"/>
    </xf>
    <xf numFmtId="179" fontId="125" fillId="0" borderId="0" xfId="0" applyNumberFormat="1" applyFont="1" applyFill="1" applyBorder="1" applyAlignment="1" applyProtection="1">
      <alignment horizontal="right" vertical="center"/>
    </xf>
    <xf numFmtId="0" fontId="125" fillId="0" borderId="13" xfId="0" applyFont="1" applyBorder="1" applyAlignment="1" applyProtection="1">
      <alignment horizontal="center" vertical="center"/>
    </xf>
    <xf numFmtId="0" fontId="96" fillId="0" borderId="13" xfId="0" applyFont="1" applyBorder="1" applyAlignment="1" applyProtection="1">
      <alignment horizontal="left" vertical="center"/>
    </xf>
    <xf numFmtId="0" fontId="96" fillId="0" borderId="13" xfId="0" applyFont="1" applyBorder="1" applyAlignment="1" applyProtection="1">
      <alignment horizontal="left" vertical="center" wrapText="1"/>
    </xf>
    <xf numFmtId="0" fontId="125" fillId="0" borderId="13" xfId="0" applyFont="1" applyBorder="1" applyAlignment="1" applyProtection="1">
      <alignment horizontal="left" vertical="center"/>
    </xf>
    <xf numFmtId="0" fontId="125" fillId="0" borderId="15" xfId="0" applyFont="1" applyBorder="1" applyAlignment="1" applyProtection="1">
      <alignment horizontal="left" vertical="center"/>
    </xf>
    <xf numFmtId="14" fontId="202" fillId="26" borderId="0" xfId="0" applyNumberFormat="1" applyFont="1" applyFill="1" applyProtection="1"/>
    <xf numFmtId="0" fontId="96" fillId="0" borderId="39" xfId="0" applyFont="1" applyBorder="1" applyAlignment="1" applyProtection="1">
      <alignment vertical="center"/>
    </xf>
    <xf numFmtId="0" fontId="139" fillId="0" borderId="40" xfId="0" applyFont="1" applyBorder="1" applyProtection="1"/>
    <xf numFmtId="14" fontId="202" fillId="26" borderId="0" xfId="0" applyNumberFormat="1" applyFont="1" applyFill="1" applyAlignment="1" applyProtection="1">
      <alignment vertical="center"/>
    </xf>
    <xf numFmtId="14" fontId="96" fillId="26" borderId="0" xfId="0" applyNumberFormat="1" applyFont="1" applyFill="1" applyBorder="1" applyProtection="1"/>
    <xf numFmtId="14" fontId="96" fillId="26" borderId="0" xfId="0" applyNumberFormat="1" applyFont="1" applyFill="1" applyBorder="1" applyAlignment="1" applyProtection="1">
      <alignment vertical="center"/>
    </xf>
    <xf numFmtId="0" fontId="139" fillId="32" borderId="0" xfId="0" applyFont="1" applyFill="1" applyBorder="1" applyProtection="1"/>
    <xf numFmtId="0" fontId="202" fillId="32" borderId="0" xfId="0" applyFont="1" applyFill="1" applyBorder="1" applyAlignment="1" applyProtection="1">
      <alignment horizontal="center"/>
    </xf>
    <xf numFmtId="179" fontId="182" fillId="32" borderId="0" xfId="0" applyNumberFormat="1" applyFont="1" applyFill="1" applyBorder="1" applyAlignment="1" applyProtection="1">
      <alignment vertical="center" shrinkToFit="1"/>
    </xf>
    <xf numFmtId="14" fontId="96" fillId="32" borderId="0" xfId="0" applyNumberFormat="1" applyFont="1" applyFill="1" applyBorder="1" applyAlignment="1" applyProtection="1">
      <alignment horizontal="center" vertical="center"/>
    </xf>
    <xf numFmtId="0" fontId="139" fillId="0" borderId="0" xfId="0" applyFont="1" applyFill="1" applyBorder="1" applyProtection="1"/>
    <xf numFmtId="0" fontId="202" fillId="0" borderId="0" xfId="0" applyFont="1" applyFill="1" applyBorder="1" applyProtection="1"/>
    <xf numFmtId="2" fontId="96" fillId="0" borderId="0" xfId="0" applyNumberFormat="1" applyFont="1" applyFill="1" applyBorder="1" applyAlignment="1" applyProtection="1">
      <alignment horizontal="center" vertical="center"/>
    </xf>
    <xf numFmtId="14" fontId="96" fillId="0" borderId="0" xfId="0" applyNumberFormat="1" applyFont="1" applyFill="1" applyBorder="1" applyAlignment="1" applyProtection="1">
      <alignment horizontal="center" vertical="center"/>
    </xf>
    <xf numFmtId="0" fontId="139" fillId="0" borderId="0" xfId="0" applyFont="1" applyProtection="1"/>
    <xf numFmtId="0" fontId="202" fillId="0" borderId="0" xfId="0" applyFont="1" applyBorder="1" applyProtection="1"/>
    <xf numFmtId="0" fontId="123" fillId="0" borderId="0" xfId="0" applyFont="1" applyBorder="1" applyProtection="1"/>
    <xf numFmtId="0" fontId="123" fillId="26" borderId="0" xfId="0" applyFont="1" applyFill="1" applyBorder="1" applyProtection="1"/>
    <xf numFmtId="0" fontId="123" fillId="26" borderId="0" xfId="0" applyFont="1" applyFill="1" applyBorder="1" applyAlignment="1" applyProtection="1">
      <alignment horizontal="center"/>
    </xf>
    <xf numFmtId="0" fontId="246" fillId="26" borderId="0" xfId="0" applyFont="1" applyFill="1" applyBorder="1" applyAlignment="1" applyProtection="1">
      <alignment horizontal="center"/>
    </xf>
    <xf numFmtId="0" fontId="96" fillId="26" borderId="0" xfId="0" applyFont="1" applyFill="1" applyBorder="1" applyAlignment="1" applyProtection="1">
      <alignment horizontal="left" vertical="center" wrapText="1"/>
    </xf>
    <xf numFmtId="173" fontId="174" fillId="0" borderId="0" xfId="0" applyNumberFormat="1" applyFont="1" applyBorder="1" applyAlignment="1" applyProtection="1">
      <alignment vertical="center"/>
    </xf>
    <xf numFmtId="0" fontId="247" fillId="0" borderId="0" xfId="0" applyFont="1" applyBorder="1" applyProtection="1"/>
    <xf numFmtId="0" fontId="248" fillId="0" borderId="0" xfId="0" applyFont="1" applyBorder="1" applyProtection="1"/>
    <xf numFmtId="0" fontId="248" fillId="26" borderId="0" xfId="0" applyFont="1" applyFill="1" applyBorder="1" applyProtection="1"/>
    <xf numFmtId="14" fontId="248" fillId="26" borderId="0" xfId="0" applyNumberFormat="1" applyFont="1" applyFill="1" applyBorder="1" applyProtection="1"/>
    <xf numFmtId="0" fontId="174" fillId="0" borderId="0" xfId="0" applyFont="1" applyBorder="1" applyProtection="1"/>
    <xf numFmtId="0" fontId="158" fillId="0" borderId="0" xfId="0" applyFont="1" applyProtection="1"/>
    <xf numFmtId="0" fontId="139" fillId="0" borderId="0" xfId="0" applyFont="1" applyAlignment="1" applyProtection="1">
      <alignment vertical="center"/>
    </xf>
    <xf numFmtId="0" fontId="244" fillId="0" borderId="0" xfId="0" applyFont="1" applyProtection="1"/>
    <xf numFmtId="1" fontId="96" fillId="0" borderId="0" xfId="0" applyNumberFormat="1" applyFont="1" applyAlignment="1" applyProtection="1">
      <alignment horizontal="center"/>
    </xf>
    <xf numFmtId="1" fontId="96" fillId="0" borderId="0" xfId="0" applyNumberFormat="1" applyFont="1" applyProtection="1"/>
    <xf numFmtId="176" fontId="96" fillId="0" borderId="35" xfId="0" applyNumberFormat="1" applyFont="1" applyBorder="1" applyProtection="1"/>
    <xf numFmtId="0" fontId="174" fillId="0" borderId="36" xfId="0" applyFont="1" applyBorder="1" applyProtection="1"/>
    <xf numFmtId="176" fontId="154" fillId="0" borderId="67" xfId="0" applyNumberFormat="1" applyFont="1" applyFill="1" applyBorder="1" applyAlignment="1" applyProtection="1">
      <alignment horizontal="center" vertical="center"/>
    </xf>
    <xf numFmtId="182" fontId="154" fillId="37" borderId="81" xfId="0" applyNumberFormat="1" applyFont="1" applyFill="1" applyBorder="1" applyAlignment="1" applyProtection="1">
      <alignment horizontal="left" vertical="center"/>
      <protection locked="0"/>
    </xf>
    <xf numFmtId="176" fontId="154" fillId="0" borderId="81" xfId="0" applyNumberFormat="1" applyFont="1" applyFill="1" applyBorder="1" applyAlignment="1" applyProtection="1">
      <alignment horizontal="centerContinuous" vertical="center"/>
    </xf>
    <xf numFmtId="14" fontId="154" fillId="0" borderId="81" xfId="0" applyNumberFormat="1" applyFont="1" applyFill="1" applyBorder="1" applyAlignment="1" applyProtection="1">
      <alignment horizontal="centerContinuous" vertical="center"/>
    </xf>
    <xf numFmtId="14" fontId="154" fillId="0" borderId="92" xfId="0" applyNumberFormat="1" applyFont="1" applyFill="1" applyBorder="1" applyAlignment="1" applyProtection="1">
      <alignment horizontal="centerContinuous" vertical="center"/>
    </xf>
    <xf numFmtId="1" fontId="128" fillId="0" borderId="0" xfId="0" applyNumberFormat="1" applyFont="1" applyAlignment="1" applyProtection="1">
      <alignment horizontal="center"/>
    </xf>
    <xf numFmtId="1" fontId="128" fillId="0" borderId="0" xfId="0" applyNumberFormat="1" applyFont="1" applyProtection="1"/>
    <xf numFmtId="0" fontId="96" fillId="0" borderId="37" xfId="0" applyFont="1" applyBorder="1" applyProtection="1"/>
    <xf numFmtId="0" fontId="139" fillId="0" borderId="14" xfId="0" applyFont="1" applyBorder="1" applyAlignment="1" applyProtection="1">
      <alignment horizontal="center" vertical="center" wrapText="1"/>
    </xf>
    <xf numFmtId="0" fontId="139" fillId="0" borderId="13" xfId="0" applyFont="1" applyBorder="1" applyAlignment="1" applyProtection="1">
      <alignment horizontal="center" vertical="center" wrapText="1"/>
    </xf>
    <xf numFmtId="0" fontId="198" fillId="32" borderId="29" xfId="0" applyFont="1" applyFill="1" applyBorder="1" applyAlignment="1" applyProtection="1">
      <alignment horizontal="center" vertical="center" wrapText="1"/>
    </xf>
    <xf numFmtId="0" fontId="178" fillId="0" borderId="0" xfId="0" applyFont="1" applyBorder="1" applyAlignment="1" applyProtection="1">
      <alignment horizontal="center" vertical="center" wrapText="1"/>
    </xf>
    <xf numFmtId="0" fontId="96" fillId="0" borderId="49" xfId="0" applyFont="1" applyBorder="1" applyAlignment="1" applyProtection="1">
      <alignment vertical="center"/>
    </xf>
    <xf numFmtId="0" fontId="139" fillId="0" borderId="0" xfId="0" applyFont="1" applyBorder="1" applyAlignment="1" applyProtection="1">
      <alignment horizontal="center" vertical="center" wrapText="1"/>
    </xf>
    <xf numFmtId="0" fontId="139" fillId="0" borderId="38" xfId="0" applyFont="1" applyBorder="1" applyAlignment="1" applyProtection="1">
      <alignment horizontal="center" vertical="center" wrapText="1"/>
    </xf>
    <xf numFmtId="0" fontId="96" fillId="0" borderId="0" xfId="0" applyFont="1" applyAlignment="1" applyProtection="1">
      <alignment horizontal="center"/>
    </xf>
    <xf numFmtId="0" fontId="96" fillId="0" borderId="78" xfId="0" applyFont="1" applyBorder="1" applyAlignment="1" applyProtection="1">
      <alignment vertical="center"/>
    </xf>
    <xf numFmtId="3" fontId="96" fillId="32" borderId="13" xfId="0" applyNumberFormat="1" applyFont="1" applyFill="1" applyBorder="1" applyAlignment="1" applyProtection="1">
      <alignment vertical="center"/>
    </xf>
    <xf numFmtId="3" fontId="96" fillId="0" borderId="13" xfId="38" applyNumberFormat="1" applyFont="1" applyBorder="1" applyAlignment="1" applyProtection="1">
      <alignment horizontal="right" vertical="center"/>
    </xf>
    <xf numFmtId="4" fontId="96" fillId="0" borderId="13" xfId="0" applyNumberFormat="1" applyFont="1" applyBorder="1" applyAlignment="1" applyProtection="1">
      <alignment horizontal="right" vertical="center" wrapText="1"/>
    </xf>
    <xf numFmtId="10" fontId="96" fillId="0" borderId="13" xfId="41" applyNumberFormat="1" applyFont="1" applyBorder="1" applyAlignment="1" applyProtection="1">
      <alignment horizontal="right" vertical="center" wrapText="1"/>
    </xf>
    <xf numFmtId="1" fontId="96" fillId="35" borderId="29" xfId="0" applyNumberFormat="1" applyFont="1" applyFill="1" applyBorder="1" applyAlignment="1" applyProtection="1">
      <alignment vertical="center"/>
    </xf>
    <xf numFmtId="1" fontId="128" fillId="32" borderId="29" xfId="0" applyNumberFormat="1" applyFont="1" applyFill="1" applyBorder="1" applyAlignment="1" applyProtection="1">
      <alignment vertical="center"/>
    </xf>
    <xf numFmtId="0" fontId="96" fillId="32" borderId="0" xfId="0" applyFont="1" applyFill="1" applyBorder="1" applyAlignment="1" applyProtection="1">
      <alignment horizontal="center"/>
    </xf>
    <xf numFmtId="0" fontId="96" fillId="0" borderId="79" xfId="0" applyFont="1" applyBorder="1" applyAlignment="1" applyProtection="1">
      <alignment vertical="center"/>
    </xf>
    <xf numFmtId="0" fontId="96" fillId="0" borderId="17" xfId="0" applyFont="1" applyBorder="1" applyProtection="1"/>
    <xf numFmtId="0" fontId="125" fillId="0" borderId="53" xfId="0" applyFont="1" applyBorder="1" applyAlignment="1" applyProtection="1">
      <alignment vertical="center"/>
    </xf>
    <xf numFmtId="0" fontId="96" fillId="0" borderId="84" xfId="0" applyFont="1" applyBorder="1" applyProtection="1"/>
    <xf numFmtId="3" fontId="125" fillId="0" borderId="66" xfId="0" applyNumberFormat="1" applyFont="1" applyBorder="1" applyAlignment="1" applyProtection="1">
      <alignment vertical="center"/>
    </xf>
    <xf numFmtId="4" fontId="125" fillId="0" borderId="66" xfId="0" applyNumberFormat="1" applyFont="1" applyBorder="1" applyAlignment="1" applyProtection="1">
      <alignment vertical="center"/>
    </xf>
    <xf numFmtId="10" fontId="125" fillId="0" borderId="66" xfId="41" applyNumberFormat="1" applyFont="1" applyBorder="1" applyAlignment="1" applyProtection="1">
      <alignment vertical="center"/>
    </xf>
    <xf numFmtId="1" fontId="125" fillId="0" borderId="89" xfId="0" applyNumberFormat="1" applyFont="1" applyBorder="1" applyAlignment="1" applyProtection="1">
      <alignment vertical="center"/>
    </xf>
    <xf numFmtId="0" fontId="152" fillId="0" borderId="39" xfId="0" applyFont="1" applyBorder="1" applyAlignment="1" applyProtection="1">
      <alignment vertical="center"/>
    </xf>
    <xf numFmtId="0" fontId="96" fillId="0" borderId="40" xfId="0" applyFont="1" applyBorder="1" applyAlignment="1" applyProtection="1">
      <alignment vertical="center"/>
    </xf>
    <xf numFmtId="10" fontId="125" fillId="0" borderId="65" xfId="41" applyNumberFormat="1" applyFont="1" applyBorder="1" applyAlignment="1" applyProtection="1">
      <alignment horizontal="right" vertical="center"/>
    </xf>
    <xf numFmtId="0" fontId="96" fillId="0" borderId="40" xfId="0" applyFont="1" applyFill="1" applyBorder="1" applyAlignment="1" applyProtection="1">
      <alignment vertical="center"/>
    </xf>
    <xf numFmtId="0" fontId="96" fillId="0" borderId="54" xfId="0" applyFont="1" applyFill="1" applyBorder="1" applyProtection="1"/>
    <xf numFmtId="0" fontId="96" fillId="0" borderId="54" xfId="0" applyFont="1" applyFill="1" applyBorder="1" applyAlignment="1" applyProtection="1">
      <alignment vertical="center"/>
    </xf>
    <xf numFmtId="0" fontId="96" fillId="0" borderId="84" xfId="0" applyFont="1" applyBorder="1" applyAlignment="1" applyProtection="1">
      <alignment horizontal="right" vertical="center"/>
    </xf>
    <xf numFmtId="10" fontId="96" fillId="32" borderId="83" xfId="41" applyNumberFormat="1" applyFont="1" applyFill="1" applyBorder="1" applyAlignment="1" applyProtection="1">
      <alignment horizontal="right" vertical="center"/>
    </xf>
    <xf numFmtId="1" fontId="96" fillId="0" borderId="84" xfId="41" applyNumberFormat="1" applyFont="1" applyBorder="1" applyAlignment="1" applyProtection="1">
      <alignment horizontal="right" vertical="center"/>
    </xf>
    <xf numFmtId="3" fontId="96" fillId="0" borderId="84" xfId="0" applyNumberFormat="1" applyFont="1" applyFill="1" applyBorder="1" applyAlignment="1" applyProtection="1">
      <alignment vertical="center"/>
    </xf>
    <xf numFmtId="1" fontId="96" fillId="0" borderId="66" xfId="0" applyNumberFormat="1" applyFont="1" applyFill="1" applyBorder="1" applyAlignment="1" applyProtection="1">
      <alignment vertical="center"/>
    </xf>
    <xf numFmtId="2" fontId="96" fillId="0" borderId="66" xfId="0" applyNumberFormat="1" applyFont="1" applyFill="1" applyBorder="1" applyAlignment="1" applyProtection="1">
      <alignment vertical="center"/>
    </xf>
    <xf numFmtId="10" fontId="96" fillId="0" borderId="59" xfId="0" applyNumberFormat="1" applyFont="1" applyBorder="1" applyAlignment="1" applyProtection="1">
      <alignment horizontal="right" vertical="center"/>
    </xf>
    <xf numFmtId="10" fontId="96" fillId="32" borderId="0" xfId="41" applyNumberFormat="1" applyFont="1" applyFill="1" applyBorder="1" applyAlignment="1" applyProtection="1">
      <alignment horizontal="right" vertical="center"/>
    </xf>
    <xf numFmtId="0" fontId="96" fillId="0" borderId="0" xfId="0" applyFont="1" applyFill="1" applyProtection="1"/>
    <xf numFmtId="0" fontId="96" fillId="0" borderId="25" xfId="0" applyFont="1" applyBorder="1" applyAlignment="1" applyProtection="1">
      <alignment horizontal="centerContinuous" vertical="center" wrapText="1"/>
    </xf>
    <xf numFmtId="1" fontId="164" fillId="0" borderId="36" xfId="0" applyNumberFormat="1" applyFont="1" applyBorder="1" applyAlignment="1" applyProtection="1">
      <alignment horizontal="center" vertical="center" wrapText="1"/>
    </xf>
    <xf numFmtId="1" fontId="174" fillId="0" borderId="116" xfId="0" applyNumberFormat="1" applyFont="1" applyFill="1" applyBorder="1" applyAlignment="1" applyProtection="1">
      <alignment horizontal="center" vertical="center"/>
    </xf>
    <xf numFmtId="182" fontId="154" fillId="37" borderId="36" xfId="0" applyNumberFormat="1" applyFont="1" applyFill="1" applyBorder="1" applyAlignment="1" applyProtection="1">
      <alignment horizontal="centerContinuous" vertical="center"/>
      <protection locked="0"/>
    </xf>
    <xf numFmtId="176" fontId="154" fillId="0" borderId="36" xfId="0" applyNumberFormat="1" applyFont="1" applyFill="1" applyBorder="1" applyAlignment="1" applyProtection="1">
      <alignment horizontal="centerContinuous" vertical="center"/>
    </xf>
    <xf numFmtId="14" fontId="154" fillId="26" borderId="36" xfId="0" quotePrefix="1" applyNumberFormat="1" applyFont="1" applyFill="1" applyBorder="1" applyAlignment="1" applyProtection="1">
      <alignment horizontal="centerContinuous" vertical="center"/>
    </xf>
    <xf numFmtId="14" fontId="154" fillId="0" borderId="52" xfId="0" applyNumberFormat="1" applyFont="1" applyFill="1" applyBorder="1" applyAlignment="1" applyProtection="1">
      <alignment horizontal="centerContinuous" vertical="center"/>
    </xf>
    <xf numFmtId="0" fontId="198" fillId="0" borderId="29" xfId="0" applyFont="1" applyBorder="1" applyAlignment="1" applyProtection="1">
      <alignment horizontal="center" vertical="center" wrapText="1"/>
    </xf>
    <xf numFmtId="0" fontId="171" fillId="0" borderId="0" xfId="0" applyFont="1" applyBorder="1" applyAlignment="1" applyProtection="1">
      <alignment horizontal="center" vertical="center" wrapText="1"/>
    </xf>
    <xf numFmtId="1" fontId="96" fillId="32" borderId="29" xfId="0" applyNumberFormat="1" applyFont="1" applyFill="1" applyBorder="1" applyAlignment="1" applyProtection="1">
      <alignment vertical="center"/>
    </xf>
    <xf numFmtId="1" fontId="96" fillId="32" borderId="0" xfId="0" applyNumberFormat="1" applyFont="1" applyFill="1" applyBorder="1" applyAlignment="1" applyProtection="1">
      <alignment horizontal="right" vertical="top"/>
    </xf>
    <xf numFmtId="3" fontId="96" fillId="0" borderId="34" xfId="38" applyNumberFormat="1" applyFont="1" applyBorder="1" applyAlignment="1" applyProtection="1">
      <alignment horizontal="right" vertical="center"/>
    </xf>
    <xf numFmtId="10" fontId="174" fillId="0" borderId="40" xfId="41" applyNumberFormat="1" applyFont="1" applyBorder="1" applyAlignment="1" applyProtection="1">
      <alignment vertical="center"/>
      <protection hidden="1"/>
    </xf>
    <xf numFmtId="0" fontId="96" fillId="0" borderId="54" xfId="0" applyFont="1" applyBorder="1" applyProtection="1"/>
    <xf numFmtId="0" fontId="96" fillId="0" borderId="84" xfId="0" applyFont="1" applyFill="1" applyBorder="1" applyAlignment="1" applyProtection="1">
      <alignment vertical="center"/>
    </xf>
    <xf numFmtId="0" fontId="96" fillId="0" borderId="66" xfId="0" applyFont="1" applyFill="1" applyBorder="1" applyAlignment="1" applyProtection="1">
      <alignment vertical="center"/>
    </xf>
    <xf numFmtId="10" fontId="96" fillId="0" borderId="0" xfId="41" applyNumberFormat="1" applyFont="1" applyBorder="1" applyAlignment="1" applyProtection="1">
      <alignment horizontal="right" vertical="center"/>
    </xf>
    <xf numFmtId="0" fontId="96" fillId="0" borderId="35" xfId="0" applyFont="1" applyBorder="1" applyProtection="1"/>
    <xf numFmtId="0" fontId="96" fillId="0" borderId="81" xfId="0" applyFont="1" applyBorder="1" applyAlignment="1" applyProtection="1">
      <alignment horizontal="left" vertical="center"/>
    </xf>
    <xf numFmtId="0" fontId="96" fillId="0" borderId="81" xfId="0" applyFont="1" applyBorder="1" applyAlignment="1" applyProtection="1">
      <alignment horizontal="center"/>
    </xf>
    <xf numFmtId="0" fontId="96" fillId="0" borderId="92" xfId="0" applyFont="1" applyBorder="1" applyAlignment="1" applyProtection="1">
      <alignment horizontal="center"/>
    </xf>
    <xf numFmtId="0" fontId="171" fillId="0" borderId="29" xfId="0" applyFont="1" applyBorder="1" applyAlignment="1" applyProtection="1">
      <alignment horizontal="center" vertical="center" wrapText="1"/>
    </xf>
    <xf numFmtId="1" fontId="96" fillId="32" borderId="29" xfId="41" applyNumberFormat="1" applyFont="1" applyFill="1" applyBorder="1" applyAlignment="1" applyProtection="1">
      <alignment vertical="center"/>
    </xf>
    <xf numFmtId="3" fontId="96" fillId="32" borderId="13" xfId="38" applyNumberFormat="1" applyFont="1" applyFill="1" applyBorder="1" applyAlignment="1" applyProtection="1">
      <alignment horizontal="right" vertical="center"/>
    </xf>
    <xf numFmtId="10" fontId="96" fillId="32" borderId="13" xfId="41" applyNumberFormat="1" applyFont="1" applyFill="1" applyBorder="1" applyAlignment="1" applyProtection="1">
      <alignment horizontal="right" vertical="center" wrapText="1"/>
    </xf>
    <xf numFmtId="0" fontId="152" fillId="0" borderId="47" xfId="0" applyFont="1" applyBorder="1" applyAlignment="1" applyProtection="1">
      <alignment vertical="center"/>
    </xf>
    <xf numFmtId="0" fontId="96" fillId="0" borderId="11" xfId="0" applyFont="1" applyBorder="1" applyAlignment="1" applyProtection="1">
      <alignment vertical="center"/>
    </xf>
    <xf numFmtId="10" fontId="125" fillId="0" borderId="14" xfId="41" applyNumberFormat="1" applyFont="1" applyBorder="1" applyAlignment="1" applyProtection="1">
      <alignment horizontal="right" vertical="center"/>
    </xf>
    <xf numFmtId="10" fontId="125" fillId="0" borderId="0" xfId="41" applyNumberFormat="1" applyFont="1" applyBorder="1" applyAlignment="1" applyProtection="1">
      <alignment horizontal="right" vertical="center"/>
    </xf>
    <xf numFmtId="0" fontId="96" fillId="0" borderId="0" xfId="0" applyFont="1" applyBorder="1" applyAlignment="1" applyProtection="1">
      <alignment horizontal="right" vertical="center"/>
    </xf>
    <xf numFmtId="10" fontId="130" fillId="0" borderId="60" xfId="41" applyNumberFormat="1" applyFont="1" applyBorder="1" applyAlignment="1" applyProtection="1">
      <alignment horizontal="right" vertical="center"/>
    </xf>
    <xf numFmtId="10" fontId="130" fillId="0" borderId="59" xfId="41" applyNumberFormat="1" applyFont="1" applyBorder="1" applyProtection="1"/>
    <xf numFmtId="0" fontId="139" fillId="0" borderId="35" xfId="0" applyFont="1" applyFill="1" applyBorder="1" applyProtection="1"/>
    <xf numFmtId="0" fontId="245" fillId="26" borderId="35" xfId="0" applyFont="1" applyFill="1" applyBorder="1" applyAlignment="1" applyProtection="1">
      <alignment horizontal="center" vertical="center"/>
    </xf>
    <xf numFmtId="0" fontId="96" fillId="0" borderId="36" xfId="0" applyFont="1" applyFill="1" applyBorder="1" applyProtection="1"/>
    <xf numFmtId="1" fontId="155" fillId="0" borderId="48" xfId="41" applyNumberFormat="1" applyFont="1" applyFill="1" applyBorder="1" applyAlignment="1" applyProtection="1">
      <alignment horizontal="center" vertical="center" wrapText="1"/>
    </xf>
    <xf numFmtId="0" fontId="156" fillId="0" borderId="37" xfId="0" applyFont="1" applyFill="1" applyBorder="1" applyAlignment="1" applyProtection="1">
      <alignment vertical="center"/>
    </xf>
    <xf numFmtId="0" fontId="154" fillId="0" borderId="39" xfId="0" applyFont="1" applyFill="1" applyBorder="1" applyAlignment="1" applyProtection="1">
      <alignment horizontal="left" vertical="center" wrapText="1"/>
    </xf>
    <xf numFmtId="0" fontId="96" fillId="0" borderId="117" xfId="0" applyFont="1" applyFill="1" applyBorder="1" applyAlignment="1" applyProtection="1">
      <alignment horizontal="centerContinuous" vertical="center" wrapText="1"/>
    </xf>
    <xf numFmtId="1" fontId="91" fillId="0" borderId="51" xfId="41" applyNumberFormat="1" applyFont="1" applyFill="1" applyBorder="1" applyAlignment="1" applyProtection="1">
      <alignment horizontal="center" vertical="center" wrapText="1"/>
    </xf>
    <xf numFmtId="170" fontId="163" fillId="0" borderId="117" xfId="41" applyNumberFormat="1" applyFont="1" applyFill="1" applyBorder="1" applyAlignment="1" applyProtection="1">
      <alignment horizontal="center" vertical="center" wrapText="1"/>
    </xf>
    <xf numFmtId="170" fontId="163" fillId="0" borderId="41" xfId="41" applyNumberFormat="1" applyFont="1" applyFill="1" applyBorder="1" applyAlignment="1" applyProtection="1">
      <alignment horizontal="center" vertical="center" wrapText="1"/>
    </xf>
    <xf numFmtId="0" fontId="155" fillId="0" borderId="0" xfId="0" applyFont="1" applyFill="1" applyBorder="1" applyAlignment="1" applyProtection="1">
      <alignment vertical="center"/>
    </xf>
    <xf numFmtId="1" fontId="91" fillId="0" borderId="0" xfId="41" applyNumberFormat="1" applyFont="1" applyFill="1" applyBorder="1" applyAlignment="1" applyProtection="1">
      <alignment horizontal="center" vertical="center" wrapText="1"/>
    </xf>
    <xf numFmtId="1" fontId="91" fillId="0" borderId="40" xfId="41" applyNumberFormat="1" applyFont="1" applyFill="1" applyBorder="1" applyAlignment="1" applyProtection="1">
      <alignment horizontal="center" vertical="center" wrapText="1"/>
    </xf>
    <xf numFmtId="0" fontId="91" fillId="0" borderId="37" xfId="0" applyFont="1" applyFill="1" applyBorder="1" applyAlignment="1" applyProtection="1">
      <alignment vertical="center"/>
    </xf>
    <xf numFmtId="0" fontId="152" fillId="0" borderId="25" xfId="0" applyFont="1" applyFill="1" applyBorder="1" applyAlignment="1" applyProtection="1">
      <alignment vertical="center" wrapText="1"/>
    </xf>
    <xf numFmtId="0" fontId="91" fillId="0" borderId="67" xfId="0" applyFont="1" applyFill="1" applyBorder="1" applyAlignment="1" applyProtection="1">
      <alignment vertical="center" wrapText="1"/>
    </xf>
    <xf numFmtId="2" fontId="152" fillId="46" borderId="48" xfId="0" applyNumberFormat="1" applyFont="1" applyFill="1" applyBorder="1" applyAlignment="1" applyProtection="1">
      <alignment horizontal="right" vertical="center"/>
    </xf>
    <xf numFmtId="10" fontId="152" fillId="0" borderId="125" xfId="41" applyNumberFormat="1" applyFont="1" applyFill="1" applyBorder="1" applyAlignment="1" applyProtection="1">
      <alignment horizontal="right" vertical="center"/>
    </xf>
    <xf numFmtId="10" fontId="152" fillId="0" borderId="92" xfId="41" applyNumberFormat="1" applyFont="1" applyFill="1" applyBorder="1" applyAlignment="1" applyProtection="1">
      <alignment horizontal="right" vertical="center"/>
    </xf>
    <xf numFmtId="0" fontId="152" fillId="0" borderId="42" xfId="0" applyFont="1" applyFill="1" applyBorder="1" applyAlignment="1" applyProtection="1">
      <alignment vertical="center" wrapText="1"/>
    </xf>
    <xf numFmtId="0" fontId="91" fillId="0" borderId="86" xfId="0" applyFont="1" applyFill="1" applyBorder="1" applyAlignment="1" applyProtection="1">
      <alignment vertical="center" wrapText="1"/>
    </xf>
    <xf numFmtId="2" fontId="152" fillId="46" borderId="51" xfId="0" applyNumberFormat="1" applyFont="1" applyFill="1" applyBorder="1" applyAlignment="1" applyProtection="1">
      <alignment horizontal="right" vertical="center"/>
    </xf>
    <xf numFmtId="10" fontId="152" fillId="0" borderId="132" xfId="41" applyNumberFormat="1" applyFont="1" applyFill="1" applyBorder="1" applyAlignment="1" applyProtection="1">
      <alignment horizontal="right" vertical="center"/>
    </xf>
    <xf numFmtId="10" fontId="152" fillId="0" borderId="91" xfId="41" applyNumberFormat="1" applyFont="1" applyFill="1" applyBorder="1" applyAlignment="1" applyProtection="1">
      <alignment horizontal="right" vertical="center"/>
    </xf>
    <xf numFmtId="0" fontId="151" fillId="0" borderId="27" xfId="0" applyFont="1" applyFill="1" applyBorder="1" applyAlignment="1" applyProtection="1">
      <alignment vertical="center" wrapText="1"/>
    </xf>
    <xf numFmtId="0" fontId="91" fillId="0" borderId="48" xfId="0" applyFont="1" applyFill="1" applyBorder="1" applyAlignment="1" applyProtection="1">
      <alignment vertical="center" wrapText="1"/>
    </xf>
    <xf numFmtId="2" fontId="152" fillId="0" borderId="67" xfId="0" applyNumberFormat="1" applyFont="1" applyFill="1" applyBorder="1" applyAlignment="1" applyProtection="1">
      <alignment vertical="center"/>
    </xf>
    <xf numFmtId="2" fontId="152" fillId="0" borderId="48" xfId="0" applyNumberFormat="1" applyFont="1" applyFill="1" applyBorder="1" applyAlignment="1" applyProtection="1">
      <alignment vertical="center"/>
    </xf>
    <xf numFmtId="10" fontId="152" fillId="0" borderId="77" xfId="41" applyNumberFormat="1" applyFont="1" applyFill="1" applyBorder="1" applyAlignment="1" applyProtection="1">
      <alignment vertical="center"/>
    </xf>
    <xf numFmtId="10" fontId="152" fillId="0" borderId="92" xfId="41" applyNumberFormat="1" applyFont="1" applyFill="1" applyBorder="1" applyAlignment="1" applyProtection="1">
      <alignment vertical="center"/>
    </xf>
    <xf numFmtId="0" fontId="91" fillId="0" borderId="13" xfId="0" applyFont="1" applyFill="1" applyBorder="1" applyAlignment="1" applyProtection="1">
      <alignment vertical="center" wrapText="1"/>
    </xf>
    <xf numFmtId="181" fontId="152" fillId="46" borderId="14" xfId="0" applyNumberFormat="1" applyFont="1" applyFill="1" applyBorder="1" applyAlignment="1" applyProtection="1">
      <alignment horizontal="right" vertical="center"/>
    </xf>
    <xf numFmtId="10" fontId="152" fillId="0" borderId="18" xfId="41" applyNumberFormat="1" applyFont="1" applyFill="1" applyBorder="1" applyAlignment="1" applyProtection="1">
      <alignment vertical="center"/>
    </xf>
    <xf numFmtId="10" fontId="152" fillId="0" borderId="61" xfId="41" applyNumberFormat="1" applyFont="1" applyFill="1" applyBorder="1" applyAlignment="1" applyProtection="1">
      <alignment horizontal="right" vertical="center"/>
    </xf>
    <xf numFmtId="0" fontId="151" fillId="0" borderId="30" xfId="0" applyFont="1" applyFill="1" applyBorder="1" applyAlignment="1" applyProtection="1">
      <alignment vertical="center" wrapText="1"/>
    </xf>
    <xf numFmtId="0" fontId="91" fillId="0" borderId="109" xfId="0" applyFont="1" applyFill="1" applyBorder="1" applyAlignment="1" applyProtection="1">
      <alignment vertical="center" wrapText="1"/>
    </xf>
    <xf numFmtId="181" fontId="152" fillId="0" borderId="65" xfId="0" applyNumberFormat="1" applyFont="1" applyFill="1" applyBorder="1" applyAlignment="1" applyProtection="1">
      <alignment vertical="center"/>
    </xf>
    <xf numFmtId="181" fontId="152" fillId="0" borderId="51" xfId="0" applyNumberFormat="1" applyFont="1" applyFill="1" applyBorder="1" applyAlignment="1" applyProtection="1">
      <alignment vertical="center"/>
    </xf>
    <xf numFmtId="10" fontId="152" fillId="0" borderId="117" xfId="41" applyNumberFormat="1" applyFont="1" applyFill="1" applyBorder="1" applyAlignment="1" applyProtection="1">
      <alignment horizontal="right" vertical="center"/>
    </xf>
    <xf numFmtId="10" fontId="152" fillId="0" borderId="41" xfId="41" applyNumberFormat="1" applyFont="1" applyFill="1" applyBorder="1" applyAlignment="1" applyProtection="1">
      <alignment horizontal="right" vertical="center"/>
    </xf>
    <xf numFmtId="0" fontId="151" fillId="0" borderId="54" xfId="0" applyFont="1" applyFill="1" applyBorder="1" applyAlignment="1" applyProtection="1">
      <alignment vertical="center" wrapText="1"/>
    </xf>
    <xf numFmtId="0" fontId="91" fillId="0" borderId="54" xfId="0" applyFont="1" applyFill="1" applyBorder="1" applyAlignment="1" applyProtection="1">
      <alignment vertical="center" wrapText="1"/>
    </xf>
    <xf numFmtId="181" fontId="152" fillId="0" borderId="0" xfId="0" applyNumberFormat="1" applyFont="1" applyFill="1" applyBorder="1" applyAlignment="1" applyProtection="1">
      <alignment vertical="center"/>
    </xf>
    <xf numFmtId="181" fontId="152" fillId="0" borderId="54" xfId="0" applyNumberFormat="1" applyFont="1" applyFill="1" applyBorder="1" applyAlignment="1" applyProtection="1">
      <alignment vertical="center"/>
    </xf>
    <xf numFmtId="10" fontId="152" fillId="0" borderId="0" xfId="41" applyNumberFormat="1" applyFont="1" applyFill="1" applyBorder="1" applyAlignment="1" applyProtection="1">
      <alignment horizontal="right" vertical="center"/>
    </xf>
    <xf numFmtId="10" fontId="152" fillId="0" borderId="54" xfId="41" applyNumberFormat="1" applyFont="1" applyFill="1" applyBorder="1" applyAlignment="1" applyProtection="1">
      <alignment horizontal="right" vertical="center"/>
    </xf>
    <xf numFmtId="0" fontId="152" fillId="0" borderId="42" xfId="0" applyFont="1" applyFill="1" applyBorder="1" applyAlignment="1" applyProtection="1">
      <alignment vertical="center" shrinkToFit="1"/>
    </xf>
    <xf numFmtId="0" fontId="151" fillId="0" borderId="27" xfId="0" applyFont="1" applyFill="1" applyBorder="1" applyAlignment="1" applyProtection="1">
      <alignment wrapText="1"/>
    </xf>
    <xf numFmtId="0" fontId="91" fillId="0" borderId="45" xfId="0" applyFont="1" applyFill="1" applyBorder="1" applyAlignment="1" applyProtection="1">
      <alignment vertical="center" wrapText="1"/>
    </xf>
    <xf numFmtId="10" fontId="152" fillId="0" borderId="46" xfId="41" applyNumberFormat="1" applyFont="1" applyFill="1" applyBorder="1" applyAlignment="1" applyProtection="1">
      <alignment vertical="center"/>
    </xf>
    <xf numFmtId="10" fontId="152" fillId="0" borderId="61" xfId="41" applyNumberFormat="1" applyFont="1" applyFill="1" applyBorder="1" applyAlignment="1" applyProtection="1">
      <alignment vertical="center"/>
    </xf>
    <xf numFmtId="0" fontId="91" fillId="0" borderId="11" xfId="0" applyFont="1" applyFill="1" applyBorder="1" applyAlignment="1" applyProtection="1">
      <alignment vertical="center" wrapText="1"/>
    </xf>
    <xf numFmtId="0" fontId="152" fillId="0" borderId="30" xfId="0" applyFont="1" applyFill="1" applyBorder="1" applyAlignment="1" applyProtection="1">
      <alignment vertical="center" wrapText="1"/>
    </xf>
    <xf numFmtId="0" fontId="157" fillId="0" borderId="0" xfId="0" applyFont="1" applyFill="1" applyBorder="1" applyAlignment="1" applyProtection="1">
      <alignment vertical="center" wrapText="1"/>
    </xf>
    <xf numFmtId="0" fontId="91" fillId="0" borderId="0" xfId="0" applyFont="1" applyFill="1" applyBorder="1" applyAlignment="1" applyProtection="1">
      <alignment vertical="center" wrapText="1"/>
    </xf>
    <xf numFmtId="4" fontId="152" fillId="0" borderId="0" xfId="0" applyNumberFormat="1" applyFont="1" applyFill="1" applyBorder="1" applyAlignment="1" applyProtection="1">
      <alignment vertical="center"/>
    </xf>
    <xf numFmtId="10" fontId="152" fillId="0" borderId="77" xfId="41" applyNumberFormat="1" applyFont="1" applyFill="1" applyBorder="1" applyAlignment="1" applyProtection="1">
      <alignment horizontal="right" vertical="center"/>
    </xf>
    <xf numFmtId="2" fontId="152" fillId="32" borderId="48" xfId="0" applyNumberFormat="1" applyFont="1" applyFill="1" applyBorder="1" applyAlignment="1" applyProtection="1">
      <alignment horizontal="right" vertical="center"/>
    </xf>
    <xf numFmtId="2" fontId="152" fillId="46" borderId="14" xfId="0" applyNumberFormat="1" applyFont="1" applyFill="1" applyBorder="1" applyAlignment="1" applyProtection="1">
      <alignment horizontal="right" vertical="center"/>
    </xf>
    <xf numFmtId="10" fontId="152" fillId="0" borderId="46" xfId="41" applyNumberFormat="1" applyFont="1" applyFill="1" applyBorder="1" applyAlignment="1" applyProtection="1">
      <alignment horizontal="right" vertical="center"/>
    </xf>
    <xf numFmtId="2" fontId="152" fillId="32" borderId="14" xfId="0" applyNumberFormat="1" applyFont="1" applyFill="1" applyBorder="1" applyAlignment="1" applyProtection="1">
      <alignment horizontal="right" vertical="center"/>
    </xf>
    <xf numFmtId="10" fontId="152" fillId="0" borderId="68" xfId="41" applyNumberFormat="1" applyFont="1" applyFill="1" applyBorder="1" applyAlignment="1" applyProtection="1">
      <alignment horizontal="right" vertical="center"/>
    </xf>
    <xf numFmtId="2" fontId="152" fillId="32" borderId="51" xfId="0" applyNumberFormat="1" applyFont="1" applyFill="1" applyBorder="1" applyAlignment="1" applyProtection="1">
      <alignment horizontal="right" vertical="center"/>
    </xf>
    <xf numFmtId="181" fontId="152" fillId="32" borderId="14" xfId="0" applyNumberFormat="1" applyFont="1" applyFill="1" applyBorder="1" applyAlignment="1" applyProtection="1">
      <alignment horizontal="right" vertical="center"/>
    </xf>
    <xf numFmtId="0" fontId="91" fillId="0" borderId="0" xfId="0" applyFont="1" applyFill="1" applyBorder="1" applyAlignment="1" applyProtection="1">
      <alignment horizontal="right" vertical="center" wrapText="1"/>
    </xf>
    <xf numFmtId="10" fontId="91" fillId="0" borderId="0" xfId="41" applyNumberFormat="1" applyFont="1" applyFill="1" applyBorder="1" applyAlignment="1" applyProtection="1">
      <alignment horizontal="right" vertical="center"/>
    </xf>
    <xf numFmtId="10" fontId="91" fillId="0" borderId="54" xfId="41" applyNumberFormat="1" applyFont="1" applyFill="1" applyBorder="1" applyAlignment="1" applyProtection="1">
      <alignment horizontal="right" vertical="center"/>
    </xf>
    <xf numFmtId="2" fontId="152" fillId="46" borderId="13" xfId="0" applyNumberFormat="1" applyFont="1" applyFill="1" applyBorder="1" applyAlignment="1" applyProtection="1">
      <alignment horizontal="right" vertical="center"/>
    </xf>
    <xf numFmtId="165" fontId="152" fillId="0" borderId="0" xfId="0" applyNumberFormat="1" applyFont="1" applyFill="1" applyBorder="1" applyAlignment="1" applyProtection="1">
      <alignment horizontal="right" vertical="center"/>
    </xf>
    <xf numFmtId="2" fontId="152" fillId="26" borderId="48" xfId="0" applyNumberFormat="1" applyFont="1" applyFill="1" applyBorder="1" applyAlignment="1" applyProtection="1">
      <alignment horizontal="right" vertical="center"/>
    </xf>
    <xf numFmtId="0" fontId="91" fillId="0" borderId="14" xfId="0" applyFont="1" applyFill="1" applyBorder="1" applyAlignment="1" applyProtection="1">
      <alignment vertical="center" wrapText="1"/>
    </xf>
    <xf numFmtId="181" fontId="152" fillId="26" borderId="14" xfId="0" applyNumberFormat="1" applyFont="1" applyFill="1" applyBorder="1" applyAlignment="1" applyProtection="1">
      <alignment horizontal="right" vertical="center"/>
    </xf>
    <xf numFmtId="0" fontId="91" fillId="0" borderId="65" xfId="0" applyFont="1" applyFill="1" applyBorder="1" applyAlignment="1" applyProtection="1">
      <alignment vertical="center" wrapText="1"/>
    </xf>
    <xf numFmtId="0" fontId="96" fillId="0" borderId="37" xfId="0" applyFont="1" applyFill="1" applyBorder="1" applyProtection="1"/>
    <xf numFmtId="170" fontId="96" fillId="0" borderId="0" xfId="41" applyNumberFormat="1" applyFont="1" applyFill="1" applyBorder="1" applyProtection="1"/>
    <xf numFmtId="170" fontId="96" fillId="0" borderId="54" xfId="41" applyNumberFormat="1" applyFont="1" applyFill="1" applyBorder="1" applyProtection="1"/>
    <xf numFmtId="0" fontId="139" fillId="0" borderId="37" xfId="0" applyFont="1" applyFill="1" applyBorder="1" applyProtection="1"/>
    <xf numFmtId="0" fontId="151" fillId="0" borderId="23" xfId="0" applyFont="1" applyFill="1" applyBorder="1" applyAlignment="1" applyProtection="1">
      <alignment wrapText="1"/>
    </xf>
    <xf numFmtId="0" fontId="91" fillId="0" borderId="24" xfId="0" applyFont="1" applyFill="1" applyBorder="1" applyAlignment="1" applyProtection="1">
      <alignment vertical="center" wrapText="1"/>
    </xf>
    <xf numFmtId="10" fontId="152" fillId="0" borderId="26" xfId="41" applyNumberFormat="1" applyFont="1" applyFill="1" applyBorder="1" applyAlignment="1" applyProtection="1">
      <alignment horizontal="right" vertical="center"/>
    </xf>
    <xf numFmtId="0" fontId="88" fillId="0" borderId="27" xfId="0" applyFont="1" applyFill="1" applyBorder="1" applyAlignment="1" applyProtection="1">
      <alignment vertical="center"/>
    </xf>
    <xf numFmtId="0" fontId="91" fillId="0" borderId="28" xfId="0" applyFont="1" applyFill="1" applyBorder="1" applyAlignment="1" applyProtection="1">
      <alignment vertical="center" wrapText="1"/>
    </xf>
    <xf numFmtId="181" fontId="125" fillId="0" borderId="42" xfId="0" applyNumberFormat="1" applyFont="1" applyFill="1" applyBorder="1" applyAlignment="1" applyProtection="1">
      <alignment vertical="center"/>
    </xf>
    <xf numFmtId="10" fontId="152" fillId="0" borderId="29" xfId="41" applyNumberFormat="1" applyFont="1" applyFill="1" applyBorder="1" applyAlignment="1" applyProtection="1">
      <alignment horizontal="right" vertical="center"/>
    </xf>
    <xf numFmtId="0" fontId="91" fillId="0" borderId="0" xfId="0" applyFont="1" applyFill="1" applyBorder="1" applyAlignment="1" applyProtection="1">
      <alignment vertical="center"/>
    </xf>
    <xf numFmtId="0" fontId="91" fillId="0" borderId="31" xfId="0" applyFont="1" applyFill="1" applyBorder="1" applyAlignment="1" applyProtection="1">
      <alignment vertical="center" wrapText="1"/>
    </xf>
    <xf numFmtId="181" fontId="153" fillId="0" borderId="30" xfId="0" applyNumberFormat="1" applyFont="1" applyFill="1" applyBorder="1" applyAlignment="1" applyProtection="1">
      <alignment horizontal="right" vertical="center"/>
    </xf>
    <xf numFmtId="10" fontId="96" fillId="0" borderId="32" xfId="0" applyNumberFormat="1" applyFont="1" applyFill="1" applyBorder="1" applyAlignment="1" applyProtection="1">
      <alignment horizontal="right"/>
    </xf>
    <xf numFmtId="10" fontId="96" fillId="0" borderId="32" xfId="0" applyNumberFormat="1" applyFont="1" applyFill="1" applyBorder="1" applyProtection="1"/>
    <xf numFmtId="0" fontId="96" fillId="35" borderId="11" xfId="0" applyFont="1" applyFill="1" applyBorder="1" applyProtection="1"/>
    <xf numFmtId="170" fontId="96" fillId="35" borderId="11" xfId="41" applyNumberFormat="1" applyFont="1" applyFill="1" applyBorder="1" applyProtection="1"/>
    <xf numFmtId="0" fontId="96" fillId="35" borderId="11" xfId="0" applyFont="1" applyFill="1" applyBorder="1" applyProtection="1">
      <protection locked="0"/>
    </xf>
    <xf numFmtId="170" fontId="96" fillId="35" borderId="11" xfId="41" applyNumberFormat="1" applyFont="1" applyFill="1" applyBorder="1" applyProtection="1">
      <protection locked="0"/>
    </xf>
    <xf numFmtId="0" fontId="139" fillId="0" borderId="0" xfId="0" applyFont="1" applyFill="1" applyProtection="1"/>
    <xf numFmtId="170" fontId="96" fillId="0" borderId="0" xfId="41" applyNumberFormat="1" applyFont="1" applyFill="1" applyProtection="1"/>
    <xf numFmtId="0" fontId="245" fillId="26" borderId="0" xfId="0" applyFont="1" applyFill="1" applyBorder="1" applyAlignment="1" applyProtection="1">
      <alignment vertical="center"/>
    </xf>
    <xf numFmtId="0" fontId="249" fillId="0" borderId="0" xfId="0" applyFont="1" applyFill="1" applyBorder="1" applyAlignment="1" applyProtection="1">
      <alignment horizontal="centerContinuous" vertical="center"/>
    </xf>
    <xf numFmtId="0" fontId="250" fillId="0" borderId="0" xfId="0" applyFont="1" applyFill="1" applyBorder="1" applyAlignment="1" applyProtection="1">
      <alignment vertical="center"/>
    </xf>
    <xf numFmtId="0" fontId="250" fillId="0" borderId="0" xfId="0" applyFont="1" applyFill="1" applyAlignment="1" applyProtection="1">
      <alignment vertical="center"/>
    </xf>
    <xf numFmtId="0" fontId="96" fillId="0" borderId="10" xfId="0" applyFont="1" applyFill="1" applyBorder="1" applyProtection="1"/>
    <xf numFmtId="0" fontId="251" fillId="0" borderId="13" xfId="0" applyFont="1" applyFill="1" applyBorder="1" applyAlignment="1" applyProtection="1">
      <alignment vertical="center"/>
    </xf>
    <xf numFmtId="0" fontId="153" fillId="0" borderId="13" xfId="0" applyFont="1" applyFill="1" applyBorder="1" applyAlignment="1" applyProtection="1">
      <alignment horizontal="center" vertical="center" wrapText="1"/>
    </xf>
    <xf numFmtId="0" fontId="91" fillId="0" borderId="13" xfId="0" applyFont="1" applyFill="1" applyBorder="1" applyAlignment="1" applyProtection="1">
      <alignment horizontal="center" vertical="center" wrapText="1"/>
    </xf>
    <xf numFmtId="1" fontId="153" fillId="0" borderId="13" xfId="0" applyNumberFormat="1" applyFont="1" applyFill="1" applyBorder="1" applyAlignment="1" applyProtection="1">
      <alignment horizontal="center" vertical="center" wrapText="1"/>
    </xf>
    <xf numFmtId="0" fontId="163" fillId="0" borderId="13" xfId="0" applyFont="1" applyFill="1" applyBorder="1" applyAlignment="1" applyProtection="1">
      <alignment horizontal="center" vertical="center" wrapText="1"/>
    </xf>
    <xf numFmtId="0" fontId="163" fillId="0" borderId="0" xfId="0" applyFont="1" applyFill="1" applyBorder="1" applyAlignment="1" applyProtection="1">
      <alignment horizontal="centerContinuous" vertical="center" wrapText="1"/>
    </xf>
    <xf numFmtId="1" fontId="153" fillId="0" borderId="13" xfId="41" applyNumberFormat="1" applyFont="1" applyFill="1" applyBorder="1" applyAlignment="1" applyProtection="1">
      <alignment horizontal="center" vertical="center" wrapText="1"/>
    </xf>
    <xf numFmtId="0" fontId="163" fillId="0" borderId="13" xfId="0" applyFont="1" applyFill="1" applyBorder="1" applyAlignment="1" applyProtection="1">
      <alignment horizontal="centerContinuous" vertical="center" wrapText="1"/>
    </xf>
    <xf numFmtId="0" fontId="139" fillId="0" borderId="0" xfId="0" applyFont="1" applyFill="1" applyBorder="1" applyAlignment="1" applyProtection="1">
      <alignment horizontal="center"/>
    </xf>
    <xf numFmtId="1" fontId="91" fillId="32" borderId="16" xfId="41" applyNumberFormat="1" applyFont="1" applyFill="1" applyBorder="1" applyAlignment="1" applyProtection="1">
      <alignment horizontal="center" vertical="center" wrapText="1"/>
    </xf>
    <xf numFmtId="0" fontId="153" fillId="0" borderId="25" xfId="0" applyFont="1" applyFill="1" applyBorder="1" applyAlignment="1" applyProtection="1">
      <alignment vertical="center" wrapText="1"/>
    </xf>
    <xf numFmtId="9" fontId="152" fillId="0" borderId="36" xfId="41" applyFont="1" applyFill="1" applyBorder="1" applyAlignment="1" applyProtection="1">
      <alignment vertical="center"/>
    </xf>
    <xf numFmtId="181" fontId="152" fillId="32" borderId="48" xfId="0" applyNumberFormat="1" applyFont="1" applyFill="1" applyBorder="1" applyAlignment="1" applyProtection="1">
      <alignment horizontal="right" vertical="center"/>
    </xf>
    <xf numFmtId="179" fontId="152" fillId="0" borderId="77" xfId="0" applyNumberFormat="1" applyFont="1" applyFill="1" applyBorder="1" applyAlignment="1" applyProtection="1">
      <alignment horizontal="right" vertical="center"/>
    </xf>
    <xf numFmtId="179" fontId="152" fillId="0" borderId="48" xfId="0" applyNumberFormat="1" applyFont="1" applyFill="1" applyBorder="1" applyAlignment="1" applyProtection="1">
      <alignment horizontal="right" vertical="center"/>
    </xf>
    <xf numFmtId="10" fontId="152" fillId="0" borderId="48" xfId="0" applyNumberFormat="1" applyFont="1" applyFill="1" applyBorder="1" applyAlignment="1" applyProtection="1">
      <alignment horizontal="right" vertical="center"/>
    </xf>
    <xf numFmtId="166" fontId="152" fillId="0" borderId="36" xfId="0" applyNumberFormat="1" applyFont="1" applyFill="1" applyBorder="1" applyAlignment="1" applyProtection="1">
      <alignment horizontal="right" vertical="center"/>
    </xf>
    <xf numFmtId="10" fontId="152" fillId="0" borderId="26" xfId="0" applyNumberFormat="1" applyFont="1" applyFill="1" applyBorder="1" applyAlignment="1" applyProtection="1">
      <alignment horizontal="right" vertical="center"/>
    </xf>
    <xf numFmtId="0" fontId="187" fillId="0" borderId="49" xfId="0" applyFont="1" applyFill="1" applyBorder="1" applyAlignment="1" applyProtection="1">
      <alignment vertical="center" wrapText="1"/>
    </xf>
    <xf numFmtId="9" fontId="152" fillId="0" borderId="0" xfId="41" applyFont="1" applyFill="1" applyBorder="1" applyAlignment="1" applyProtection="1">
      <alignment vertical="center"/>
    </xf>
    <xf numFmtId="179" fontId="152" fillId="0" borderId="13" xfId="0" applyNumberFormat="1" applyFont="1" applyFill="1" applyBorder="1" applyAlignment="1" applyProtection="1">
      <alignment horizontal="right" vertical="center"/>
    </xf>
    <xf numFmtId="181" fontId="152" fillId="32" borderId="13" xfId="0" applyNumberFormat="1" applyFont="1" applyFill="1" applyBorder="1" applyAlignment="1" applyProtection="1">
      <alignment horizontal="right" vertical="center"/>
    </xf>
    <xf numFmtId="10" fontId="152" fillId="0" borderId="13" xfId="0" applyNumberFormat="1" applyFont="1" applyFill="1" applyBorder="1" applyAlignment="1" applyProtection="1">
      <alignment horizontal="right" vertical="center"/>
    </xf>
    <xf numFmtId="166" fontId="152" fillId="0" borderId="0" xfId="0" applyNumberFormat="1" applyFont="1" applyFill="1" applyBorder="1" applyAlignment="1" applyProtection="1">
      <alignment horizontal="right" vertical="center"/>
    </xf>
    <xf numFmtId="10" fontId="152" fillId="0" borderId="29" xfId="0" applyNumberFormat="1" applyFont="1" applyFill="1" applyBorder="1" applyAlignment="1" applyProtection="1">
      <alignment horizontal="right" vertical="center"/>
    </xf>
    <xf numFmtId="0" fontId="187" fillId="0" borderId="50" xfId="0" applyFont="1" applyFill="1" applyBorder="1" applyAlignment="1" applyProtection="1">
      <alignment horizontal="right" vertical="center" wrapText="1"/>
    </xf>
    <xf numFmtId="9" fontId="152" fillId="0" borderId="40" xfId="41" applyFont="1" applyFill="1" applyBorder="1" applyAlignment="1" applyProtection="1">
      <alignment vertical="center"/>
    </xf>
    <xf numFmtId="181" fontId="152" fillId="32" borderId="65" xfId="0" applyNumberFormat="1" applyFont="1" applyFill="1" applyBorder="1" applyAlignment="1" applyProtection="1">
      <alignment horizontal="right" vertical="center"/>
    </xf>
    <xf numFmtId="179" fontId="152" fillId="0" borderId="51" xfId="0" applyNumberFormat="1" applyFont="1" applyFill="1" applyBorder="1" applyAlignment="1" applyProtection="1">
      <alignment horizontal="right" vertical="center"/>
    </xf>
    <xf numFmtId="0" fontId="96" fillId="0" borderId="40" xfId="0" applyFont="1" applyFill="1" applyBorder="1" applyProtection="1"/>
    <xf numFmtId="181" fontId="152" fillId="32" borderId="51" xfId="0" applyNumberFormat="1" applyFont="1" applyFill="1" applyBorder="1" applyAlignment="1" applyProtection="1">
      <alignment horizontal="right" vertical="center"/>
    </xf>
    <xf numFmtId="10" fontId="152" fillId="0" borderId="51" xfId="0" applyNumberFormat="1" applyFont="1" applyFill="1" applyBorder="1" applyAlignment="1" applyProtection="1">
      <alignment horizontal="right" vertical="center"/>
    </xf>
    <xf numFmtId="166" fontId="152" fillId="0" borderId="40" xfId="0" applyNumberFormat="1" applyFont="1" applyFill="1" applyBorder="1" applyAlignment="1" applyProtection="1">
      <alignment horizontal="right" vertical="center"/>
    </xf>
    <xf numFmtId="10" fontId="152" fillId="0" borderId="32" xfId="0" applyNumberFormat="1" applyFont="1" applyFill="1" applyBorder="1" applyAlignment="1" applyProtection="1">
      <alignment horizontal="right" vertical="center"/>
    </xf>
    <xf numFmtId="0" fontId="90" fillId="0" borderId="54" xfId="0" applyFont="1" applyFill="1" applyBorder="1" applyAlignment="1" applyProtection="1">
      <alignment horizontal="right" vertical="center" wrapText="1"/>
    </xf>
    <xf numFmtId="181" fontId="90" fillId="32" borderId="54" xfId="0" applyNumberFormat="1" applyFont="1" applyFill="1" applyBorder="1" applyAlignment="1" applyProtection="1">
      <alignment horizontal="right" vertical="center"/>
    </xf>
    <xf numFmtId="179" fontId="90" fillId="0" borderId="54" xfId="0" applyNumberFormat="1" applyFont="1" applyFill="1" applyBorder="1" applyAlignment="1" applyProtection="1">
      <alignment horizontal="right" vertical="center"/>
    </xf>
    <xf numFmtId="10" fontId="90" fillId="0" borderId="54" xfId="0" applyNumberFormat="1" applyFont="1" applyFill="1" applyBorder="1" applyAlignment="1" applyProtection="1">
      <alignment horizontal="right" vertical="center"/>
    </xf>
    <xf numFmtId="10" fontId="90" fillId="0" borderId="0" xfId="0" applyNumberFormat="1" applyFont="1" applyFill="1" applyBorder="1" applyAlignment="1" applyProtection="1">
      <alignment horizontal="right" vertical="center"/>
    </xf>
    <xf numFmtId="0" fontId="153" fillId="0" borderId="90" xfId="0" applyFont="1" applyFill="1" applyBorder="1" applyAlignment="1" applyProtection="1">
      <alignment vertical="center" wrapText="1"/>
    </xf>
    <xf numFmtId="9" fontId="152" fillId="0" borderId="54" xfId="41" applyFont="1" applyFill="1" applyBorder="1" applyAlignment="1" applyProtection="1">
      <alignment vertical="center"/>
    </xf>
    <xf numFmtId="181" fontId="152" fillId="32" borderId="66" xfId="0" applyNumberFormat="1" applyFont="1" applyFill="1" applyBorder="1" applyAlignment="1" applyProtection="1">
      <alignment horizontal="right" vertical="center"/>
    </xf>
    <xf numFmtId="179" fontId="152" fillId="0" borderId="66" xfId="0" applyNumberFormat="1" applyFont="1" applyFill="1" applyBorder="1" applyAlignment="1" applyProtection="1">
      <alignment horizontal="right" vertical="center"/>
    </xf>
    <xf numFmtId="10" fontId="152" fillId="0" borderId="66" xfId="0" applyNumberFormat="1" applyFont="1" applyFill="1" applyBorder="1" applyAlignment="1" applyProtection="1">
      <alignment horizontal="right" vertical="center"/>
    </xf>
    <xf numFmtId="166" fontId="152" fillId="0" borderId="54" xfId="0" applyNumberFormat="1" applyFont="1" applyFill="1" applyBorder="1" applyAlignment="1" applyProtection="1">
      <alignment horizontal="right" vertical="center"/>
    </xf>
    <xf numFmtId="10" fontId="152" fillId="0" borderId="89" xfId="0" applyNumberFormat="1" applyFont="1" applyFill="1" applyBorder="1" applyAlignment="1" applyProtection="1">
      <alignment horizontal="right" vertical="center"/>
    </xf>
    <xf numFmtId="0" fontId="153" fillId="0" borderId="54" xfId="0" applyFont="1" applyFill="1" applyBorder="1" applyAlignment="1" applyProtection="1">
      <alignment vertical="center" wrapText="1"/>
    </xf>
    <xf numFmtId="181" fontId="152" fillId="32" borderId="54" xfId="0" applyNumberFormat="1" applyFont="1" applyFill="1" applyBorder="1" applyAlignment="1" applyProtection="1">
      <alignment horizontal="right" vertical="center"/>
    </xf>
    <xf numFmtId="179" fontId="152" fillId="0" borderId="54" xfId="0" applyNumberFormat="1" applyFont="1" applyFill="1" applyBorder="1" applyAlignment="1" applyProtection="1">
      <alignment horizontal="right" vertical="center"/>
    </xf>
    <xf numFmtId="10" fontId="152" fillId="0" borderId="54" xfId="0" applyNumberFormat="1" applyFont="1" applyFill="1" applyBorder="1" applyAlignment="1" applyProtection="1">
      <alignment horizontal="right" vertical="center"/>
    </xf>
    <xf numFmtId="0" fontId="153" fillId="32" borderId="54" xfId="0" applyFont="1" applyFill="1" applyBorder="1" applyAlignment="1" applyProtection="1">
      <alignment vertical="center" wrapText="1"/>
    </xf>
    <xf numFmtId="9" fontId="152" fillId="32" borderId="54" xfId="41" applyFont="1" applyFill="1" applyBorder="1" applyAlignment="1" applyProtection="1">
      <alignment vertical="center"/>
    </xf>
    <xf numFmtId="179" fontId="152" fillId="32" borderId="54" xfId="0" applyNumberFormat="1" applyFont="1" applyFill="1" applyBorder="1" applyAlignment="1" applyProtection="1">
      <alignment horizontal="right" vertical="center"/>
    </xf>
    <xf numFmtId="0" fontId="96" fillId="32" borderId="54" xfId="0" applyFont="1" applyFill="1" applyBorder="1" applyProtection="1"/>
    <xf numFmtId="10" fontId="152" fillId="32" borderId="54" xfId="0" applyNumberFormat="1" applyFont="1" applyFill="1" applyBorder="1" applyAlignment="1" applyProtection="1">
      <alignment horizontal="right" vertical="center"/>
    </xf>
    <xf numFmtId="166" fontId="152" fillId="32" borderId="54" xfId="0" applyNumberFormat="1" applyFont="1" applyFill="1" applyBorder="1" applyAlignment="1" applyProtection="1">
      <alignment horizontal="right" vertical="center"/>
    </xf>
    <xf numFmtId="0" fontId="153" fillId="32" borderId="36" xfId="0" applyFont="1" applyFill="1" applyBorder="1" applyAlignment="1" applyProtection="1">
      <alignment vertical="center" wrapText="1"/>
    </xf>
    <xf numFmtId="9" fontId="152" fillId="32" borderId="36" xfId="41" applyFont="1" applyFill="1" applyBorder="1" applyAlignment="1" applyProtection="1">
      <alignment vertical="center"/>
    </xf>
    <xf numFmtId="181" fontId="152" fillId="32" borderId="36" xfId="0" applyNumberFormat="1" applyFont="1" applyFill="1" applyBorder="1" applyAlignment="1" applyProtection="1">
      <alignment horizontal="right" vertical="center"/>
    </xf>
    <xf numFmtId="179" fontId="152" fillId="32" borderId="36" xfId="0" applyNumberFormat="1" applyFont="1" applyFill="1" applyBorder="1" applyAlignment="1" applyProtection="1">
      <alignment horizontal="right" vertical="center"/>
    </xf>
    <xf numFmtId="10" fontId="152" fillId="32" borderId="36" xfId="0" applyNumberFormat="1" applyFont="1" applyFill="1" applyBorder="1" applyAlignment="1" applyProtection="1">
      <alignment horizontal="right" vertical="center"/>
    </xf>
    <xf numFmtId="166" fontId="152" fillId="32" borderId="36" xfId="0" applyNumberFormat="1" applyFont="1" applyFill="1" applyBorder="1" applyAlignment="1" applyProtection="1">
      <alignment horizontal="right" vertical="center"/>
    </xf>
    <xf numFmtId="191" fontId="152" fillId="0" borderId="51" xfId="0" applyNumberFormat="1" applyFont="1" applyFill="1" applyBorder="1" applyAlignment="1" applyProtection="1">
      <alignment horizontal="right" vertical="center"/>
    </xf>
    <xf numFmtId="0" fontId="90" fillId="32" borderId="0" xfId="0" applyFont="1" applyFill="1" applyBorder="1" applyAlignment="1" applyProtection="1">
      <alignment horizontal="right" vertical="center" wrapText="1"/>
    </xf>
    <xf numFmtId="9" fontId="152" fillId="32" borderId="0" xfId="41" applyFont="1" applyFill="1" applyBorder="1" applyAlignment="1" applyProtection="1">
      <alignment vertical="center"/>
    </xf>
    <xf numFmtId="181" fontId="152" fillId="32" borderId="0" xfId="0" applyNumberFormat="1" applyFont="1" applyFill="1" applyBorder="1" applyAlignment="1" applyProtection="1">
      <alignment horizontal="right" vertical="center"/>
    </xf>
    <xf numFmtId="179" fontId="152" fillId="32" borderId="0" xfId="0" applyNumberFormat="1" applyFont="1" applyFill="1" applyBorder="1" applyAlignment="1" applyProtection="1">
      <alignment horizontal="right" vertical="center"/>
    </xf>
    <xf numFmtId="10" fontId="152" fillId="32" borderId="0" xfId="0" applyNumberFormat="1" applyFont="1" applyFill="1" applyBorder="1" applyAlignment="1" applyProtection="1">
      <alignment horizontal="right" vertical="center"/>
    </xf>
    <xf numFmtId="166" fontId="152" fillId="32" borderId="0" xfId="0" applyNumberFormat="1" applyFont="1" applyFill="1" applyBorder="1" applyAlignment="1" applyProtection="1">
      <alignment horizontal="right" vertical="center"/>
    </xf>
    <xf numFmtId="0" fontId="187" fillId="0" borderId="50" xfId="0" applyFont="1" applyFill="1" applyBorder="1" applyAlignment="1" applyProtection="1">
      <alignment horizontal="right" vertical="center"/>
    </xf>
    <xf numFmtId="0" fontId="90" fillId="32" borderId="54" xfId="0" applyFont="1" applyFill="1" applyBorder="1" applyAlignment="1" applyProtection="1">
      <alignment horizontal="right" vertical="center"/>
    </xf>
    <xf numFmtId="179" fontId="90" fillId="32" borderId="54" xfId="0" applyNumberFormat="1" applyFont="1" applyFill="1" applyBorder="1" applyAlignment="1" applyProtection="1">
      <alignment horizontal="right" vertical="center"/>
    </xf>
    <xf numFmtId="10" fontId="90" fillId="32" borderId="54" xfId="0" applyNumberFormat="1" applyFont="1" applyFill="1" applyBorder="1" applyAlignment="1" applyProtection="1">
      <alignment horizontal="right" vertical="center"/>
    </xf>
    <xf numFmtId="0" fontId="252" fillId="0" borderId="90" xfId="0" applyFont="1" applyFill="1" applyBorder="1" applyAlignment="1" applyProtection="1">
      <alignment vertical="center" wrapText="1"/>
    </xf>
    <xf numFmtId="0" fontId="252" fillId="32" borderId="40" xfId="0" applyFont="1" applyFill="1" applyBorder="1" applyAlignment="1" applyProtection="1">
      <alignment vertical="center" wrapText="1"/>
    </xf>
    <xf numFmtId="9" fontId="152" fillId="32" borderId="40" xfId="41" applyFont="1" applyFill="1" applyBorder="1" applyAlignment="1" applyProtection="1">
      <alignment vertical="center"/>
    </xf>
    <xf numFmtId="181" fontId="152" fillId="32" borderId="40" xfId="0" applyNumberFormat="1" applyFont="1" applyFill="1" applyBorder="1" applyAlignment="1" applyProtection="1">
      <alignment horizontal="right" vertical="center"/>
    </xf>
    <xf numFmtId="179" fontId="152" fillId="32" borderId="40" xfId="0" applyNumberFormat="1" applyFont="1" applyFill="1" applyBorder="1" applyAlignment="1" applyProtection="1">
      <alignment horizontal="right" vertical="center"/>
    </xf>
    <xf numFmtId="0" fontId="96" fillId="32" borderId="40" xfId="0" applyFont="1" applyFill="1" applyBorder="1" applyProtection="1"/>
    <xf numFmtId="10" fontId="152" fillId="32" borderId="40" xfId="0" applyNumberFormat="1" applyFont="1" applyFill="1" applyBorder="1" applyAlignment="1" applyProtection="1">
      <alignment horizontal="right" vertical="center"/>
    </xf>
    <xf numFmtId="166" fontId="152" fillId="32" borderId="40" xfId="0" applyNumberFormat="1" applyFont="1" applyFill="1" applyBorder="1" applyAlignment="1" applyProtection="1">
      <alignment horizontal="right" vertical="center"/>
    </xf>
    <xf numFmtId="0" fontId="153" fillId="0" borderId="0" xfId="0" applyFont="1" applyFill="1" applyBorder="1" applyAlignment="1" applyProtection="1">
      <alignment horizontal="center" vertical="center"/>
    </xf>
    <xf numFmtId="0" fontId="151" fillId="0" borderId="0" xfId="0" applyFont="1" applyFill="1" applyBorder="1" applyAlignment="1" applyProtection="1">
      <alignment horizontal="left" vertical="center" wrapText="1"/>
    </xf>
    <xf numFmtId="0" fontId="244" fillId="0" borderId="0" xfId="0" applyFont="1" applyFill="1" applyBorder="1" applyAlignment="1" applyProtection="1">
      <alignment horizontal="centerContinuous" vertical="center"/>
    </xf>
    <xf numFmtId="179" fontId="152" fillId="0" borderId="0" xfId="0" applyNumberFormat="1" applyFont="1" applyFill="1" applyBorder="1" applyAlignment="1" applyProtection="1">
      <alignment horizontal="right" vertical="center"/>
    </xf>
    <xf numFmtId="0" fontId="88" fillId="0" borderId="0" xfId="0" applyFont="1" applyFill="1" applyBorder="1" applyAlignment="1" applyProtection="1">
      <alignment horizontal="centerContinuous" vertical="center"/>
    </xf>
    <xf numFmtId="166" fontId="151" fillId="0" borderId="0" xfId="0" applyNumberFormat="1" applyFont="1" applyFill="1" applyBorder="1" applyAlignment="1" applyProtection="1">
      <alignment horizontal="centerContinuous" vertical="center"/>
    </xf>
    <xf numFmtId="0" fontId="88" fillId="0" borderId="40" xfId="0" applyFont="1" applyFill="1" applyBorder="1" applyAlignment="1" applyProtection="1">
      <alignment horizontal="centerContinuous" vertical="center"/>
    </xf>
    <xf numFmtId="0" fontId="153" fillId="0" borderId="33" xfId="0" applyFont="1" applyFill="1" applyBorder="1" applyAlignment="1" applyProtection="1">
      <alignment vertical="center" wrapText="1"/>
    </xf>
    <xf numFmtId="9" fontId="153" fillId="0" borderId="0" xfId="41" applyFont="1" applyFill="1" applyBorder="1" applyAlignment="1" applyProtection="1">
      <alignment vertical="center"/>
    </xf>
    <xf numFmtId="181" fontId="153" fillId="0" borderId="33" xfId="0" applyNumberFormat="1" applyFont="1" applyFill="1" applyBorder="1" applyAlignment="1" applyProtection="1">
      <alignment horizontal="right" vertical="center"/>
    </xf>
    <xf numFmtId="179" fontId="153" fillId="0" borderId="33" xfId="0" applyNumberFormat="1" applyFont="1" applyFill="1" applyBorder="1" applyAlignment="1" applyProtection="1">
      <alignment horizontal="right" vertical="center"/>
    </xf>
    <xf numFmtId="10" fontId="153" fillId="0" borderId="33" xfId="0" applyNumberFormat="1" applyFont="1" applyFill="1" applyBorder="1" applyAlignment="1" applyProtection="1">
      <alignment horizontal="right" vertical="center"/>
    </xf>
    <xf numFmtId="0" fontId="153" fillId="0" borderId="0" xfId="0" applyFont="1" applyFill="1" applyBorder="1" applyAlignment="1" applyProtection="1">
      <alignment vertical="center" wrapText="1"/>
    </xf>
    <xf numFmtId="172" fontId="153" fillId="0" borderId="0" xfId="0" applyNumberFormat="1" applyFont="1" applyFill="1" applyBorder="1" applyAlignment="1" applyProtection="1">
      <alignment horizontal="right" vertical="center"/>
    </xf>
    <xf numFmtId="10" fontId="153" fillId="0" borderId="0" xfId="0" applyNumberFormat="1" applyFont="1" applyFill="1" applyBorder="1" applyAlignment="1" applyProtection="1">
      <alignment horizontal="right" vertical="center"/>
    </xf>
    <xf numFmtId="171" fontId="153" fillId="0" borderId="0" xfId="0" applyNumberFormat="1" applyFont="1" applyFill="1" applyBorder="1" applyAlignment="1" applyProtection="1">
      <alignment horizontal="right" vertical="center"/>
    </xf>
    <xf numFmtId="10" fontId="153" fillId="0" borderId="54" xfId="0" applyNumberFormat="1" applyFont="1" applyFill="1" applyBorder="1" applyAlignment="1" applyProtection="1">
      <alignment horizontal="right" vertical="center"/>
    </xf>
    <xf numFmtId="0" fontId="152" fillId="0" borderId="0" xfId="0" applyFont="1" applyFill="1" applyBorder="1" applyAlignment="1" applyProtection="1">
      <alignment horizontal="right" vertical="center" wrapText="1"/>
    </xf>
    <xf numFmtId="0" fontId="96" fillId="0" borderId="0" xfId="0" applyFont="1" applyFill="1" applyBorder="1" applyAlignment="1" applyProtection="1">
      <alignment horizontal="right"/>
    </xf>
    <xf numFmtId="10" fontId="96" fillId="0" borderId="0" xfId="41" applyNumberFormat="1" applyFont="1" applyFill="1" applyBorder="1" applyProtection="1"/>
    <xf numFmtId="10" fontId="96" fillId="0" borderId="36" xfId="41" applyNumberFormat="1" applyFont="1" applyFill="1" applyBorder="1" applyProtection="1"/>
    <xf numFmtId="0" fontId="89" fillId="0" borderId="0" xfId="0" applyFont="1" applyFill="1" applyBorder="1" applyProtection="1"/>
    <xf numFmtId="10" fontId="89" fillId="32" borderId="33" xfId="0" applyNumberFormat="1" applyFont="1" applyFill="1" applyBorder="1" applyAlignment="1" applyProtection="1">
      <alignment horizontal="center" vertical="center"/>
    </xf>
    <xf numFmtId="14" fontId="96" fillId="0" borderId="13" xfId="0" applyNumberFormat="1" applyFont="1" applyFill="1" applyBorder="1" applyAlignment="1" applyProtection="1">
      <alignment vertical="center"/>
    </xf>
    <xf numFmtId="0" fontId="96" fillId="0" borderId="13" xfId="0" applyFont="1" applyFill="1" applyBorder="1" applyAlignment="1" applyProtection="1">
      <alignment horizontal="center" vertical="center"/>
    </xf>
    <xf numFmtId="0" fontId="96" fillId="0" borderId="13" xfId="0" applyFont="1" applyFill="1" applyBorder="1" applyAlignment="1" applyProtection="1">
      <alignment vertical="center"/>
    </xf>
    <xf numFmtId="0" fontId="96" fillId="0" borderId="11" xfId="0" applyFont="1" applyFill="1" applyBorder="1" applyAlignment="1" applyProtection="1">
      <alignment horizontal="center"/>
    </xf>
    <xf numFmtId="0" fontId="96" fillId="0" borderId="46" xfId="0" applyFont="1" applyFill="1" applyBorder="1" applyAlignment="1" applyProtection="1">
      <alignment horizontal="center"/>
    </xf>
    <xf numFmtId="0" fontId="96" fillId="0" borderId="10" xfId="0" applyFont="1" applyFill="1" applyBorder="1" applyAlignment="1" applyProtection="1">
      <alignment horizontal="center"/>
    </xf>
    <xf numFmtId="0" fontId="96" fillId="0" borderId="12" xfId="0" applyFont="1" applyFill="1" applyBorder="1" applyAlignment="1" applyProtection="1">
      <alignment horizontal="center"/>
    </xf>
    <xf numFmtId="0" fontId="96" fillId="0" borderId="115" xfId="0" applyFont="1" applyFill="1" applyBorder="1" applyProtection="1"/>
    <xf numFmtId="0" fontId="96" fillId="0" borderId="44" xfId="0" applyFont="1" applyFill="1" applyBorder="1" applyProtection="1"/>
    <xf numFmtId="0" fontId="96" fillId="0" borderId="115" xfId="0" applyFont="1" applyFill="1" applyBorder="1" applyAlignment="1" applyProtection="1">
      <alignment vertical="center"/>
    </xf>
    <xf numFmtId="0" fontId="89" fillId="0" borderId="115" xfId="0" applyFont="1" applyFill="1" applyBorder="1" applyProtection="1"/>
    <xf numFmtId="0" fontId="89" fillId="0" borderId="0" xfId="0" applyFont="1" applyFill="1" applyBorder="1" applyAlignment="1" applyProtection="1">
      <alignment vertical="center"/>
    </xf>
    <xf numFmtId="0" fontId="89" fillId="0" borderId="44" xfId="0" applyFont="1" applyFill="1" applyBorder="1" applyAlignment="1" applyProtection="1">
      <alignment vertical="center"/>
    </xf>
    <xf numFmtId="0" fontId="89" fillId="0" borderId="115" xfId="0" applyFont="1" applyFill="1" applyBorder="1" applyAlignment="1" applyProtection="1">
      <alignment vertical="center"/>
    </xf>
    <xf numFmtId="0" fontId="89" fillId="0" borderId="0" xfId="0" applyFont="1" applyFill="1" applyBorder="1" applyAlignment="1" applyProtection="1"/>
    <xf numFmtId="0" fontId="89" fillId="0" borderId="0" xfId="0" applyFont="1" applyFill="1" applyBorder="1" applyAlignment="1" applyProtection="1">
      <alignment wrapText="1"/>
    </xf>
    <xf numFmtId="0" fontId="89" fillId="0" borderId="44" xfId="0" applyFont="1" applyFill="1" applyBorder="1" applyAlignment="1" applyProtection="1">
      <alignment wrapText="1"/>
    </xf>
    <xf numFmtId="0" fontId="96" fillId="0" borderId="45" xfId="0" applyFont="1" applyFill="1" applyBorder="1" applyProtection="1"/>
    <xf numFmtId="0" fontId="96" fillId="0" borderId="11" xfId="0" applyFont="1" applyFill="1" applyBorder="1" applyProtection="1"/>
    <xf numFmtId="0" fontId="89" fillId="0" borderId="11" xfId="0" applyFont="1" applyFill="1" applyBorder="1" applyAlignment="1" applyProtection="1">
      <alignment vertical="center"/>
    </xf>
    <xf numFmtId="0" fontId="89" fillId="0" borderId="46" xfId="0" applyFont="1" applyFill="1" applyBorder="1" applyAlignment="1" applyProtection="1">
      <alignment vertical="center"/>
    </xf>
    <xf numFmtId="0" fontId="89" fillId="0" borderId="45" xfId="0" applyFont="1" applyFill="1" applyBorder="1" applyAlignment="1" applyProtection="1">
      <alignment vertical="center"/>
    </xf>
    <xf numFmtId="0" fontId="89" fillId="0" borderId="11" xfId="0" applyFont="1" applyFill="1" applyBorder="1" applyAlignment="1" applyProtection="1">
      <alignment wrapText="1"/>
    </xf>
    <xf numFmtId="0" fontId="89" fillId="0" borderId="46" xfId="0" applyFont="1" applyFill="1" applyBorder="1" applyAlignment="1" applyProtection="1">
      <alignment wrapText="1"/>
    </xf>
    <xf numFmtId="14" fontId="152" fillId="32" borderId="35" xfId="0" applyNumberFormat="1" applyFont="1" applyFill="1" applyBorder="1" applyAlignment="1" applyProtection="1">
      <alignment vertical="center"/>
      <protection locked="0"/>
    </xf>
    <xf numFmtId="1" fontId="152" fillId="32" borderId="36" xfId="0" applyNumberFormat="1" applyFont="1" applyFill="1" applyBorder="1" applyProtection="1">
      <protection locked="0"/>
    </xf>
    <xf numFmtId="0" fontId="152" fillId="32" borderId="36" xfId="0" applyFont="1" applyFill="1" applyBorder="1" applyAlignment="1" applyProtection="1">
      <alignment vertical="center"/>
      <protection locked="0"/>
    </xf>
    <xf numFmtId="0" fontId="152" fillId="32" borderId="52" xfId="0" applyFont="1" applyFill="1" applyBorder="1" applyAlignment="1" applyProtection="1">
      <alignment vertical="center"/>
      <protection locked="0"/>
    </xf>
    <xf numFmtId="0" fontId="124" fillId="34" borderId="0" xfId="0" quotePrefix="1" applyFont="1" applyFill="1"/>
    <xf numFmtId="0" fontId="152" fillId="34" borderId="0" xfId="0" applyFont="1" applyFill="1" applyBorder="1" applyAlignment="1" applyProtection="1">
      <alignment vertical="center"/>
    </xf>
    <xf numFmtId="0" fontId="96" fillId="34" borderId="0" xfId="0" applyFont="1" applyFill="1"/>
    <xf numFmtId="0" fontId="96" fillId="0" borderId="0" xfId="0" applyFont="1"/>
    <xf numFmtId="0" fontId="254" fillId="38" borderId="33" xfId="0" applyFont="1" applyFill="1" applyBorder="1" applyAlignment="1">
      <alignment horizontal="center" vertical="center"/>
    </xf>
    <xf numFmtId="0" fontId="254" fillId="38" borderId="33" xfId="0" applyFont="1" applyFill="1" applyBorder="1" applyAlignment="1">
      <alignment horizontal="center" vertical="center" wrapText="1"/>
    </xf>
    <xf numFmtId="222" fontId="254" fillId="38" borderId="33" xfId="41" applyNumberFormat="1" applyFont="1" applyFill="1" applyBorder="1" applyAlignment="1">
      <alignment horizontal="center" vertical="center" wrapText="1"/>
    </xf>
    <xf numFmtId="222" fontId="255" fillId="32" borderId="0" xfId="41" applyNumberFormat="1" applyFont="1" applyFill="1" applyBorder="1" applyAlignment="1">
      <alignment vertical="center" wrapText="1"/>
    </xf>
    <xf numFmtId="0" fontId="152" fillId="32" borderId="38" xfId="0" applyFont="1" applyFill="1" applyBorder="1" applyAlignment="1" applyProtection="1">
      <alignment vertical="center"/>
      <protection locked="0"/>
    </xf>
    <xf numFmtId="0" fontId="187" fillId="34" borderId="0" xfId="0" applyFont="1" applyFill="1" applyBorder="1" applyAlignment="1" applyProtection="1">
      <alignment vertical="center"/>
    </xf>
    <xf numFmtId="0" fontId="254" fillId="26" borderId="37" xfId="0" applyFont="1" applyFill="1" applyBorder="1" applyAlignment="1">
      <alignment horizontal="center" vertical="center"/>
    </xf>
    <xf numFmtId="0" fontId="254" fillId="26" borderId="0" xfId="0" applyFont="1" applyFill="1" applyBorder="1" applyAlignment="1">
      <alignment horizontal="center" vertical="center"/>
    </xf>
    <xf numFmtId="0" fontId="254" fillId="26" borderId="0" xfId="0" applyFont="1" applyFill="1" applyBorder="1" applyAlignment="1">
      <alignment horizontal="center" wrapText="1"/>
    </xf>
    <xf numFmtId="223" fontId="153" fillId="37" borderId="33" xfId="41" applyNumberFormat="1" applyFont="1" applyFill="1" applyBorder="1" applyAlignment="1" applyProtection="1">
      <alignment horizontal="center" vertical="center"/>
      <protection locked="0"/>
    </xf>
    <xf numFmtId="0" fontId="256" fillId="34" borderId="127" xfId="0" applyFont="1" applyFill="1" applyBorder="1" applyAlignment="1" applyProtection="1">
      <alignment horizontal="center" vertical="center"/>
    </xf>
    <xf numFmtId="0" fontId="257" fillId="34" borderId="59" xfId="0" applyFont="1" applyFill="1" applyBorder="1" applyAlignment="1" applyProtection="1">
      <alignment horizontal="center" vertical="center"/>
    </xf>
    <xf numFmtId="1" fontId="125" fillId="26" borderId="37" xfId="0" applyNumberFormat="1" applyFont="1" applyFill="1" applyBorder="1" applyAlignment="1">
      <alignment horizontal="center"/>
    </xf>
    <xf numFmtId="223" fontId="96" fillId="32" borderId="0" xfId="41" applyNumberFormat="1" applyFont="1" applyFill="1" applyBorder="1" applyAlignment="1" applyProtection="1">
      <alignment horizontal="center"/>
      <protection locked="0"/>
    </xf>
    <xf numFmtId="10" fontId="96" fillId="26" borderId="0" xfId="0" applyNumberFormat="1" applyFont="1" applyFill="1" applyBorder="1" applyAlignment="1">
      <alignment horizontal="center"/>
    </xf>
    <xf numFmtId="204" fontId="96" fillId="26" borderId="0" xfId="0" applyNumberFormat="1" applyFont="1" applyFill="1" applyBorder="1" applyAlignment="1">
      <alignment horizontal="center"/>
    </xf>
    <xf numFmtId="198" fontId="125" fillId="32" borderId="70" xfId="0" applyNumberFormat="1" applyFont="1" applyFill="1" applyBorder="1" applyAlignment="1">
      <alignment horizontal="center"/>
    </xf>
    <xf numFmtId="198" fontId="125" fillId="32" borderId="92" xfId="0" applyNumberFormat="1" applyFont="1" applyFill="1" applyBorder="1" applyAlignment="1">
      <alignment horizontal="center"/>
    </xf>
    <xf numFmtId="10" fontId="152" fillId="32" borderId="0" xfId="41" applyNumberFormat="1" applyFont="1" applyFill="1" applyBorder="1" applyAlignment="1" applyProtection="1">
      <alignment vertical="center"/>
      <protection locked="0"/>
    </xf>
    <xf numFmtId="10" fontId="152" fillId="35" borderId="128" xfId="0" applyNumberFormat="1" applyFont="1" applyFill="1" applyBorder="1" applyAlignment="1" applyProtection="1">
      <alignment vertical="center"/>
    </xf>
    <xf numFmtId="198" fontId="152" fillId="35" borderId="92" xfId="0" applyNumberFormat="1" applyFont="1" applyFill="1" applyBorder="1" applyAlignment="1" applyProtection="1">
      <alignment vertical="center"/>
    </xf>
    <xf numFmtId="0" fontId="125" fillId="26" borderId="37" xfId="0" applyFont="1" applyFill="1" applyBorder="1" applyAlignment="1">
      <alignment horizontal="center"/>
    </xf>
    <xf numFmtId="10" fontId="125" fillId="35" borderId="13" xfId="0" applyNumberFormat="1" applyFont="1" applyFill="1" applyBorder="1" applyAlignment="1">
      <alignment horizontal="center"/>
    </xf>
    <xf numFmtId="10" fontId="96" fillId="26" borderId="13" xfId="0" applyNumberFormat="1" applyFont="1" applyFill="1" applyBorder="1" applyAlignment="1">
      <alignment horizontal="center"/>
    </xf>
    <xf numFmtId="10" fontId="96" fillId="26" borderId="15" xfId="0" applyNumberFormat="1" applyFont="1" applyFill="1" applyBorder="1" applyAlignment="1">
      <alignment horizontal="center"/>
    </xf>
    <xf numFmtId="198" fontId="125" fillId="32" borderId="74" xfId="0" applyNumberFormat="1" applyFont="1" applyFill="1" applyBorder="1" applyAlignment="1">
      <alignment horizontal="center"/>
    </xf>
    <xf numFmtId="198" fontId="125" fillId="32" borderId="105" xfId="0" applyNumberFormat="1" applyFont="1" applyFill="1" applyBorder="1" applyAlignment="1">
      <alignment horizontal="center"/>
    </xf>
    <xf numFmtId="0" fontId="152" fillId="32" borderId="0" xfId="0" applyFont="1" applyFill="1" applyBorder="1" applyAlignment="1" applyProtection="1">
      <alignment vertical="center"/>
      <protection locked="0"/>
    </xf>
    <xf numFmtId="198" fontId="257" fillId="34" borderId="131" xfId="0" applyNumberFormat="1" applyFont="1" applyFill="1" applyBorder="1" applyAlignment="1" applyProtection="1">
      <alignment horizontal="center" vertical="center"/>
    </xf>
    <xf numFmtId="198" fontId="125" fillId="32" borderId="64" xfId="0" applyNumberFormat="1" applyFont="1" applyFill="1" applyBorder="1" applyAlignment="1">
      <alignment horizontal="center"/>
    </xf>
    <xf numFmtId="198" fontId="125" fillId="32" borderId="41" xfId="0" applyNumberFormat="1" applyFont="1" applyFill="1" applyBorder="1" applyAlignment="1">
      <alignment horizontal="center"/>
    </xf>
    <xf numFmtId="10" fontId="152" fillId="26" borderId="129" xfId="41" applyNumberFormat="1" applyFont="1" applyFill="1" applyBorder="1" applyAlignment="1" applyProtection="1">
      <alignment vertical="center"/>
    </xf>
    <xf numFmtId="198" fontId="152" fillId="0" borderId="41" xfId="0" applyNumberFormat="1" applyFont="1" applyFill="1" applyBorder="1" applyAlignment="1" applyProtection="1">
      <alignment vertical="center"/>
    </xf>
    <xf numFmtId="0" fontId="96" fillId="26" borderId="37" xfId="0" applyFont="1" applyFill="1" applyBorder="1"/>
    <xf numFmtId="10" fontId="258" fillId="26" borderId="126" xfId="41" applyNumberFormat="1" applyFont="1" applyFill="1" applyBorder="1" applyAlignment="1">
      <alignment horizontal="center"/>
    </xf>
    <xf numFmtId="10" fontId="258" fillId="26" borderId="21" xfId="41" applyNumberFormat="1" applyFont="1" applyFill="1" applyBorder="1"/>
    <xf numFmtId="10" fontId="259" fillId="26" borderId="126" xfId="0" applyNumberFormat="1" applyFont="1" applyFill="1" applyBorder="1" applyAlignment="1">
      <alignment horizontal="center"/>
    </xf>
    <xf numFmtId="224" fontId="96" fillId="26" borderId="0" xfId="55" applyNumberFormat="1" applyFont="1" applyFill="1" applyBorder="1"/>
    <xf numFmtId="177" fontId="96" fillId="26" borderId="0" xfId="0" applyNumberFormat="1" applyFont="1" applyFill="1" applyBorder="1"/>
    <xf numFmtId="198" fontId="125" fillId="26" borderId="0" xfId="0" applyNumberFormat="1" applyFont="1" applyFill="1" applyBorder="1" applyAlignment="1"/>
    <xf numFmtId="0" fontId="152" fillId="32" borderId="0" xfId="0" applyFont="1" applyFill="1" applyBorder="1" applyProtection="1">
      <protection locked="0"/>
    </xf>
    <xf numFmtId="0" fontId="152" fillId="32" borderId="38" xfId="0" applyFont="1" applyFill="1" applyBorder="1" applyProtection="1">
      <protection locked="0"/>
    </xf>
    <xf numFmtId="0" fontId="187" fillId="39" borderId="127" xfId="0" applyFont="1" applyFill="1" applyBorder="1" applyAlignment="1" applyProtection="1">
      <alignment vertical="center"/>
    </xf>
    <xf numFmtId="0" fontId="257" fillId="34" borderId="52" xfId="0" applyFont="1" applyFill="1" applyBorder="1" applyAlignment="1" applyProtection="1">
      <alignment horizontal="center" vertical="center"/>
    </xf>
    <xf numFmtId="10" fontId="125" fillId="37" borderId="13" xfId="0" applyNumberFormat="1" applyFont="1" applyFill="1" applyBorder="1" applyAlignment="1">
      <alignment horizontal="center"/>
    </xf>
    <xf numFmtId="0" fontId="152" fillId="39" borderId="128" xfId="0" applyFont="1" applyFill="1" applyBorder="1" applyAlignment="1" applyProtection="1">
      <alignment vertical="center"/>
    </xf>
    <xf numFmtId="10" fontId="258" fillId="26" borderId="126" xfId="0" applyNumberFormat="1" applyFont="1" applyFill="1" applyBorder="1" applyAlignment="1">
      <alignment horizontal="center"/>
    </xf>
    <xf numFmtId="0" fontId="96" fillId="26" borderId="39" xfId="0" applyFont="1" applyFill="1" applyBorder="1"/>
    <xf numFmtId="0" fontId="96" fillId="26" borderId="40" xfId="0" applyFont="1" applyFill="1" applyBorder="1"/>
    <xf numFmtId="224" fontId="96" fillId="26" borderId="40" xfId="0" applyNumberFormat="1" applyFont="1" applyFill="1" applyBorder="1"/>
    <xf numFmtId="0" fontId="152" fillId="32" borderId="40" xfId="0" applyFont="1" applyFill="1" applyBorder="1" applyProtection="1">
      <protection locked="0"/>
    </xf>
    <xf numFmtId="0" fontId="152" fillId="32" borderId="41" xfId="0" applyFont="1" applyFill="1" applyBorder="1" applyProtection="1">
      <protection locked="0"/>
    </xf>
    <xf numFmtId="0" fontId="134" fillId="26" borderId="0" xfId="58" applyFont="1" applyFill="1"/>
    <xf numFmtId="14" fontId="134" fillId="26" borderId="0" xfId="58" applyNumberFormat="1" applyFont="1" applyFill="1"/>
    <xf numFmtId="277" fontId="261" fillId="26" borderId="0" xfId="41" applyNumberFormat="1" applyFont="1" applyFill="1" applyAlignment="1">
      <alignment horizontal="center" vertical="center"/>
    </xf>
    <xf numFmtId="0" fontId="67" fillId="35" borderId="49" xfId="58" applyFont="1" applyFill="1" applyBorder="1"/>
    <xf numFmtId="0" fontId="67" fillId="0" borderId="0" xfId="58" quotePrefix="1" applyFont="1" applyAlignment="1">
      <alignment vertical="center"/>
    </xf>
    <xf numFmtId="0" fontId="67" fillId="26" borderId="0" xfId="58" applyFont="1" applyFill="1"/>
    <xf numFmtId="0" fontId="262" fillId="26" borderId="0" xfId="61" applyFont="1" applyFill="1" applyAlignment="1" applyProtection="1">
      <alignment vertical="center"/>
    </xf>
    <xf numFmtId="0" fontId="67" fillId="37" borderId="49" xfId="58" applyFont="1" applyFill="1" applyBorder="1"/>
    <xf numFmtId="0" fontId="67" fillId="26" borderId="0" xfId="58" quotePrefix="1" applyFont="1" applyFill="1" applyAlignment="1">
      <alignment vertical="center"/>
    </xf>
    <xf numFmtId="0" fontId="67" fillId="32" borderId="37" xfId="58" applyFont="1" applyFill="1" applyBorder="1"/>
    <xf numFmtId="0" fontId="67" fillId="0" borderId="0" xfId="58" quotePrefix="1" applyFont="1"/>
    <xf numFmtId="0" fontId="67" fillId="0" borderId="0" xfId="58" applyFont="1" applyAlignment="1"/>
    <xf numFmtId="0" fontId="67" fillId="34" borderId="0" xfId="58" applyFont="1" applyFill="1"/>
    <xf numFmtId="0" fontId="67" fillId="0" borderId="0" xfId="58" applyFont="1"/>
    <xf numFmtId="0" fontId="67" fillId="35" borderId="0" xfId="58" applyFont="1" applyFill="1"/>
    <xf numFmtId="0" fontId="119" fillId="26" borderId="39" xfId="58" applyFont="1" applyFill="1" applyBorder="1" applyAlignment="1">
      <alignment horizontal="center" vertical="top"/>
    </xf>
    <xf numFmtId="0" fontId="119" fillId="26" borderId="40" xfId="58" applyFont="1" applyFill="1" applyBorder="1" applyAlignment="1">
      <alignment horizontal="center" vertical="center"/>
    </xf>
    <xf numFmtId="0" fontId="119" fillId="26" borderId="40" xfId="58" applyFont="1" applyFill="1" applyBorder="1" applyAlignment="1">
      <alignment horizontal="left" vertical="center" shrinkToFit="1"/>
    </xf>
    <xf numFmtId="0" fontId="119" fillId="26" borderId="40" xfId="58" applyFont="1" applyFill="1" applyBorder="1" applyAlignment="1">
      <alignment horizontal="left" vertical="center"/>
    </xf>
    <xf numFmtId="0" fontId="67" fillId="0" borderId="0" xfId="58" applyFont="1" applyFill="1"/>
    <xf numFmtId="0" fontId="119" fillId="26" borderId="37" xfId="58" applyFont="1" applyFill="1" applyBorder="1" applyAlignment="1">
      <alignment horizontal="center" vertical="top"/>
    </xf>
    <xf numFmtId="0" fontId="119" fillId="26" borderId="0" xfId="58" applyFont="1" applyFill="1" applyBorder="1" applyAlignment="1">
      <alignment horizontal="center" vertical="top"/>
    </xf>
    <xf numFmtId="0" fontId="119" fillId="26" borderId="38" xfId="58" applyFont="1" applyFill="1" applyBorder="1" applyAlignment="1">
      <alignment horizontal="center" vertical="top"/>
    </xf>
    <xf numFmtId="0" fontId="119" fillId="26" borderId="0" xfId="58" applyFont="1" applyFill="1" applyBorder="1" applyAlignment="1">
      <alignment horizontal="right" vertical="top"/>
    </xf>
    <xf numFmtId="0" fontId="66" fillId="35" borderId="33" xfId="58" applyFont="1" applyFill="1" applyBorder="1" applyAlignment="1">
      <alignment horizontal="center" vertical="center" wrapText="1"/>
    </xf>
    <xf numFmtId="0" fontId="67" fillId="0" borderId="119" xfId="58" applyFont="1" applyBorder="1"/>
    <xf numFmtId="0" fontId="67" fillId="0" borderId="53" xfId="58" applyFont="1" applyBorder="1"/>
    <xf numFmtId="0" fontId="67" fillId="0" borderId="54" xfId="58" applyFont="1" applyBorder="1"/>
    <xf numFmtId="0" fontId="67" fillId="32" borderId="0" xfId="58" applyFont="1" applyFill="1"/>
    <xf numFmtId="0" fontId="67" fillId="26" borderId="37" xfId="58" applyFont="1" applyFill="1" applyBorder="1"/>
    <xf numFmtId="0" fontId="119" fillId="26" borderId="47" xfId="58" applyFont="1" applyFill="1" applyBorder="1" applyAlignment="1">
      <alignment horizontal="center" vertical="top"/>
    </xf>
    <xf numFmtId="0" fontId="67" fillId="0" borderId="0" xfId="58" applyFont="1" applyBorder="1"/>
    <xf numFmtId="0" fontId="67" fillId="0" borderId="0" xfId="58" applyNumberFormat="1" applyFont="1"/>
    <xf numFmtId="0" fontId="67" fillId="26" borderId="0" xfId="58" applyFont="1" applyFill="1" applyBorder="1"/>
    <xf numFmtId="0" fontId="67" fillId="26" borderId="38" xfId="58" applyFont="1" applyFill="1" applyBorder="1" applyAlignment="1"/>
    <xf numFmtId="0" fontId="67" fillId="0" borderId="37" xfId="58" applyFont="1" applyBorder="1"/>
    <xf numFmtId="0" fontId="263" fillId="26" borderId="37" xfId="58" applyFont="1" applyFill="1" applyBorder="1"/>
    <xf numFmtId="10" fontId="67" fillId="0" borderId="0" xfId="41" applyNumberFormat="1" applyFont="1"/>
    <xf numFmtId="0" fontId="67" fillId="32" borderId="40" xfId="58" applyFont="1" applyFill="1" applyBorder="1"/>
    <xf numFmtId="198" fontId="67" fillId="0" borderId="0" xfId="58" applyNumberFormat="1" applyFont="1"/>
    <xf numFmtId="0" fontId="67" fillId="0" borderId="38" xfId="58" applyFont="1" applyFill="1" applyBorder="1" applyAlignment="1"/>
    <xf numFmtId="0" fontId="67" fillId="26" borderId="39" xfId="58" applyFont="1" applyFill="1" applyBorder="1"/>
    <xf numFmtId="0" fontId="67" fillId="26" borderId="35" xfId="58" applyFont="1" applyFill="1" applyBorder="1"/>
    <xf numFmtId="0" fontId="67" fillId="26" borderId="36" xfId="58" applyFont="1" applyFill="1" applyBorder="1"/>
    <xf numFmtId="0" fontId="67" fillId="26" borderId="52" xfId="58" applyFont="1" applyFill="1" applyBorder="1" applyAlignment="1"/>
    <xf numFmtId="0" fontId="264" fillId="26" borderId="0" xfId="58" applyFont="1" applyFill="1" applyBorder="1"/>
    <xf numFmtId="0" fontId="66" fillId="26" borderId="0" xfId="58" applyFont="1" applyFill="1" applyBorder="1"/>
    <xf numFmtId="7" fontId="110" fillId="26" borderId="0" xfId="62" applyNumberFormat="1" applyFont="1" applyFill="1" applyBorder="1" applyAlignment="1">
      <alignment vertical="center"/>
    </xf>
    <xf numFmtId="0" fontId="134" fillId="26" borderId="0" xfId="58" applyFont="1" applyFill="1" applyAlignment="1"/>
    <xf numFmtId="7" fontId="266" fillId="26" borderId="0" xfId="58" applyNumberFormat="1" applyFont="1" applyFill="1" applyBorder="1" applyAlignment="1">
      <alignment horizontal="center"/>
    </xf>
    <xf numFmtId="0" fontId="101" fillId="26" borderId="40" xfId="58" applyFont="1" applyFill="1" applyBorder="1"/>
    <xf numFmtId="0" fontId="67" fillId="26" borderId="40" xfId="58" applyFont="1" applyFill="1" applyBorder="1"/>
    <xf numFmtId="0" fontId="67" fillId="26" borderId="41" xfId="58" applyFont="1" applyFill="1" applyBorder="1" applyAlignment="1"/>
    <xf numFmtId="0" fontId="67" fillId="26" borderId="40" xfId="58" applyFont="1" applyFill="1" applyBorder="1" applyAlignment="1">
      <alignment horizontal="center"/>
    </xf>
    <xf numFmtId="0" fontId="67" fillId="26" borderId="40" xfId="58" applyFont="1" applyFill="1" applyBorder="1" applyAlignment="1"/>
    <xf numFmtId="0" fontId="67" fillId="26" borderId="40" xfId="58" quotePrefix="1" applyFont="1" applyFill="1" applyBorder="1" applyAlignment="1"/>
    <xf numFmtId="0" fontId="67" fillId="0" borderId="0" xfId="58" applyFont="1" applyAlignment="1" applyProtection="1"/>
    <xf numFmtId="0" fontId="134" fillId="26" borderId="0" xfId="58" applyFont="1" applyFill="1" applyProtection="1"/>
    <xf numFmtId="0" fontId="67" fillId="0" borderId="0" xfId="58" applyFont="1" applyProtection="1"/>
    <xf numFmtId="14" fontId="134" fillId="26" borderId="0" xfId="58" applyNumberFormat="1" applyFont="1" applyFill="1" applyProtection="1"/>
    <xf numFmtId="0" fontId="67" fillId="26" borderId="0" xfId="58" quotePrefix="1" applyFont="1" applyFill="1" applyProtection="1"/>
    <xf numFmtId="0" fontId="67" fillId="26" borderId="0" xfId="58" applyFont="1" applyFill="1" applyProtection="1"/>
    <xf numFmtId="0" fontId="119" fillId="26" borderId="39" xfId="58" applyFont="1" applyFill="1" applyBorder="1" applyAlignment="1" applyProtection="1">
      <alignment horizontal="center" vertical="top"/>
    </xf>
    <xf numFmtId="0" fontId="119" fillId="26" borderId="40" xfId="58" applyFont="1" applyFill="1" applyBorder="1" applyAlignment="1" applyProtection="1">
      <alignment horizontal="center" vertical="center"/>
    </xf>
    <xf numFmtId="0" fontId="119" fillId="26" borderId="40" xfId="58" applyFont="1" applyFill="1" applyBorder="1" applyAlignment="1" applyProtection="1">
      <alignment horizontal="left" vertical="center"/>
    </xf>
    <xf numFmtId="0" fontId="67" fillId="26" borderId="0" xfId="58" quotePrefix="1" applyFont="1" applyFill="1" applyAlignment="1" applyProtection="1">
      <alignment vertical="center"/>
    </xf>
    <xf numFmtId="0" fontId="119" fillId="26" borderId="37" xfId="58" applyFont="1" applyFill="1" applyBorder="1" applyAlignment="1" applyProtection="1">
      <alignment horizontal="center" vertical="top"/>
    </xf>
    <xf numFmtId="0" fontId="119" fillId="26" borderId="0" xfId="58" applyFont="1" applyFill="1" applyBorder="1" applyAlignment="1" applyProtection="1">
      <alignment horizontal="center" vertical="top"/>
    </xf>
    <xf numFmtId="0" fontId="119" fillId="26" borderId="38" xfId="58" applyFont="1" applyFill="1" applyBorder="1" applyAlignment="1" applyProtection="1">
      <alignment horizontal="center" vertical="top"/>
    </xf>
    <xf numFmtId="0" fontId="119" fillId="26" borderId="0" xfId="58" applyFont="1" applyFill="1" applyBorder="1" applyAlignment="1" applyProtection="1">
      <alignment horizontal="right" vertical="top"/>
    </xf>
    <xf numFmtId="0" fontId="66" fillId="26" borderId="33" xfId="58" applyFont="1" applyFill="1" applyBorder="1" applyAlignment="1" applyProtection="1">
      <alignment horizontal="center" vertical="center" wrapText="1"/>
    </xf>
    <xf numFmtId="0" fontId="67" fillId="0" borderId="119" xfId="58" applyFont="1" applyBorder="1" applyProtection="1"/>
    <xf numFmtId="0" fontId="67" fillId="35" borderId="13" xfId="58" applyFont="1" applyFill="1" applyBorder="1" applyProtection="1">
      <protection locked="0"/>
    </xf>
    <xf numFmtId="0" fontId="67" fillId="0" borderId="0" xfId="58" quotePrefix="1" applyFont="1" applyAlignment="1" applyProtection="1">
      <alignment vertical="center"/>
    </xf>
    <xf numFmtId="0" fontId="67" fillId="26" borderId="0" xfId="58" applyFont="1" applyFill="1" applyAlignment="1" applyProtection="1">
      <alignment vertical="center"/>
    </xf>
    <xf numFmtId="0" fontId="67" fillId="26" borderId="37" xfId="58" applyFont="1" applyFill="1" applyBorder="1" applyProtection="1"/>
    <xf numFmtId="0" fontId="119" fillId="26" borderId="47" xfId="58" applyFont="1" applyFill="1" applyBorder="1" applyAlignment="1" applyProtection="1">
      <alignment horizontal="center" vertical="top"/>
    </xf>
    <xf numFmtId="0" fontId="67" fillId="0" borderId="176" xfId="58" applyFont="1" applyBorder="1" applyProtection="1"/>
    <xf numFmtId="0" fontId="67" fillId="0" borderId="124" xfId="58" applyFont="1" applyBorder="1" applyProtection="1"/>
    <xf numFmtId="0" fontId="67" fillId="0" borderId="0" xfId="58" applyFont="1" applyBorder="1" applyProtection="1"/>
    <xf numFmtId="0" fontId="67" fillId="0" borderId="0" xfId="58" applyFont="1" applyAlignment="1" applyProtection="1">
      <alignment vertical="center"/>
    </xf>
    <xf numFmtId="0" fontId="67" fillId="26" borderId="38" xfId="58" applyFont="1" applyFill="1" applyBorder="1" applyAlignment="1" applyProtection="1"/>
    <xf numFmtId="0" fontId="67" fillId="32" borderId="0" xfId="58" applyFont="1" applyFill="1" applyBorder="1" applyProtection="1">
      <protection locked="0"/>
    </xf>
    <xf numFmtId="0" fontId="67" fillId="0" borderId="0" xfId="58" quotePrefix="1" applyFont="1" applyProtection="1"/>
    <xf numFmtId="0" fontId="67" fillId="0" borderId="37" xfId="58" applyFont="1" applyBorder="1" applyProtection="1"/>
    <xf numFmtId="0" fontId="263" fillId="26" borderId="37" xfId="58" applyFont="1" applyFill="1" applyBorder="1" applyProtection="1"/>
    <xf numFmtId="10" fontId="67" fillId="0" borderId="0" xfId="41" applyNumberFormat="1" applyFont="1" applyProtection="1"/>
    <xf numFmtId="0" fontId="67" fillId="0" borderId="38" xfId="58" applyFont="1" applyFill="1" applyBorder="1" applyAlignment="1" applyProtection="1"/>
    <xf numFmtId="0" fontId="67" fillId="26" borderId="35" xfId="58" applyFont="1" applyFill="1" applyBorder="1" applyProtection="1"/>
    <xf numFmtId="0" fontId="67" fillId="26" borderId="36" xfId="58" applyFont="1" applyFill="1" applyBorder="1" applyProtection="1"/>
    <xf numFmtId="0" fontId="67" fillId="26" borderId="52" xfId="58" applyFont="1" applyFill="1" applyBorder="1" applyProtection="1"/>
    <xf numFmtId="0" fontId="264" fillId="26" borderId="0" xfId="58" applyFont="1" applyFill="1" applyBorder="1" applyProtection="1"/>
    <xf numFmtId="0" fontId="66" fillId="26" borderId="0" xfId="58" applyFont="1" applyFill="1" applyBorder="1" applyProtection="1"/>
    <xf numFmtId="0" fontId="67" fillId="26" borderId="0" xfId="58" applyFont="1" applyFill="1" applyBorder="1" applyProtection="1"/>
    <xf numFmtId="0" fontId="67" fillId="26" borderId="38" xfId="58" applyFont="1" applyFill="1" applyBorder="1" applyProtection="1"/>
    <xf numFmtId="0" fontId="67" fillId="0" borderId="33" xfId="58" applyFont="1" applyBorder="1" applyAlignment="1" applyProtection="1">
      <alignment horizontal="center" vertical="center"/>
    </xf>
    <xf numFmtId="191" fontId="67" fillId="0" borderId="70" xfId="58" applyNumberFormat="1" applyFont="1" applyBorder="1" applyAlignment="1" applyProtection="1">
      <alignment vertical="center"/>
    </xf>
    <xf numFmtId="0" fontId="134" fillId="0" borderId="0" xfId="58" applyFont="1" applyAlignment="1" applyProtection="1"/>
    <xf numFmtId="0" fontId="67" fillId="0" borderId="215" xfId="58" applyFont="1" applyBorder="1" applyProtection="1"/>
    <xf numFmtId="0" fontId="67" fillId="0" borderId="38" xfId="58" applyFont="1" applyBorder="1" applyProtection="1"/>
    <xf numFmtId="191" fontId="67" fillId="0" borderId="74" xfId="58" applyNumberFormat="1" applyFont="1" applyBorder="1" applyAlignment="1" applyProtection="1">
      <alignment vertical="center"/>
    </xf>
    <xf numFmtId="0" fontId="67" fillId="0" borderId="71" xfId="58" applyFont="1" applyBorder="1" applyProtection="1"/>
    <xf numFmtId="0" fontId="67" fillId="26" borderId="39" xfId="58" applyFont="1" applyFill="1" applyBorder="1" applyProtection="1"/>
    <xf numFmtId="0" fontId="67" fillId="26" borderId="40" xfId="58" applyFont="1" applyFill="1" applyBorder="1" applyProtection="1"/>
    <xf numFmtId="0" fontId="67" fillId="26" borderId="41" xfId="58" applyFont="1" applyFill="1" applyBorder="1" applyProtection="1"/>
    <xf numFmtId="0" fontId="67" fillId="0" borderId="64" xfId="58" applyFont="1" applyBorder="1" applyProtection="1"/>
    <xf numFmtId="0" fontId="96" fillId="26" borderId="35" xfId="58" applyFont="1" applyFill="1" applyBorder="1"/>
    <xf numFmtId="0" fontId="96" fillId="0" borderId="0" xfId="58" applyFont="1"/>
    <xf numFmtId="0" fontId="96" fillId="35" borderId="13" xfId="58" applyFont="1" applyFill="1" applyBorder="1"/>
    <xf numFmtId="0" fontId="96" fillId="0" borderId="0" xfId="58" quotePrefix="1" applyFont="1" applyAlignment="1">
      <alignment vertical="center"/>
    </xf>
    <xf numFmtId="0" fontId="96" fillId="0" borderId="0" xfId="58" applyFont="1" applyAlignment="1"/>
    <xf numFmtId="14" fontId="96" fillId="0" borderId="0" xfId="58" applyNumberFormat="1" applyFont="1"/>
    <xf numFmtId="0" fontId="96" fillId="0" borderId="0" xfId="58" applyNumberFormat="1" applyFont="1"/>
    <xf numFmtId="0" fontId="96" fillId="26" borderId="37" xfId="58" applyFont="1" applyFill="1" applyBorder="1"/>
    <xf numFmtId="0" fontId="150" fillId="0" borderId="37" xfId="58" applyFont="1" applyFill="1" applyBorder="1" applyAlignment="1" applyProtection="1">
      <alignment vertical="center"/>
    </xf>
    <xf numFmtId="14" fontId="268" fillId="37" borderId="21" xfId="58" applyNumberFormat="1" applyFont="1" applyFill="1" applyBorder="1" applyAlignment="1" applyProtection="1">
      <alignment horizontal="center" vertical="center"/>
      <protection locked="0"/>
    </xf>
    <xf numFmtId="0" fontId="157" fillId="0" borderId="38" xfId="58" applyFont="1" applyFill="1" applyBorder="1" applyAlignment="1" applyProtection="1">
      <alignment vertical="center"/>
    </xf>
    <xf numFmtId="0" fontId="152" fillId="37" borderId="13" xfId="0" applyFont="1" applyFill="1" applyBorder="1" applyAlignment="1" applyProtection="1">
      <alignment horizontal="center"/>
      <protection locked="0"/>
    </xf>
    <xf numFmtId="0" fontId="96" fillId="0" borderId="0" xfId="0" quotePrefix="1" applyFont="1" applyAlignment="1">
      <alignment vertical="center"/>
    </xf>
    <xf numFmtId="0" fontId="96" fillId="26" borderId="39" xfId="58" applyFont="1" applyFill="1" applyBorder="1"/>
    <xf numFmtId="0" fontId="96" fillId="26" borderId="40" xfId="58" applyFont="1" applyFill="1" applyBorder="1"/>
    <xf numFmtId="0" fontId="96" fillId="26" borderId="41" xfId="58" applyFont="1" applyFill="1" applyBorder="1"/>
    <xf numFmtId="0" fontId="150" fillId="0" borderId="39" xfId="58" applyFont="1" applyFill="1" applyBorder="1" applyAlignment="1" applyProtection="1">
      <alignment vertical="center"/>
    </xf>
    <xf numFmtId="14" fontId="268" fillId="37" borderId="198" xfId="58" applyNumberFormat="1" applyFont="1" applyFill="1" applyBorder="1" applyAlignment="1" applyProtection="1">
      <alignment horizontal="center" vertical="center"/>
      <protection locked="0"/>
    </xf>
    <xf numFmtId="197" fontId="157" fillId="0" borderId="41" xfId="58" applyNumberFormat="1" applyFont="1" applyFill="1" applyBorder="1" applyAlignment="1" applyProtection="1">
      <alignment horizontal="left" vertical="center"/>
    </xf>
    <xf numFmtId="0" fontId="96" fillId="0" borderId="0" xfId="58" applyFont="1" applyFill="1" applyBorder="1"/>
    <xf numFmtId="0" fontId="96" fillId="0" borderId="0" xfId="58" quotePrefix="1" applyFont="1"/>
    <xf numFmtId="0" fontId="125" fillId="26" borderId="47" xfId="58" applyFont="1" applyFill="1" applyBorder="1" applyAlignment="1">
      <alignment vertical="center"/>
    </xf>
    <xf numFmtId="0" fontId="125" fillId="26" borderId="47" xfId="58" applyFont="1" applyFill="1" applyBorder="1" applyAlignment="1">
      <alignment horizontal="right" vertical="center"/>
    </xf>
    <xf numFmtId="1" fontId="125" fillId="32" borderId="165" xfId="58" applyNumberFormat="1" applyFont="1" applyFill="1" applyBorder="1" applyAlignment="1">
      <alignment horizontal="center" vertical="center"/>
    </xf>
    <xf numFmtId="276" fontId="177" fillId="26" borderId="0" xfId="58" applyNumberFormat="1" applyFont="1" applyFill="1" applyBorder="1" applyAlignment="1">
      <alignment vertical="center"/>
    </xf>
    <xf numFmtId="0" fontId="202" fillId="26" borderId="0" xfId="58" applyFont="1" applyFill="1" applyBorder="1" applyAlignment="1">
      <alignment horizontal="center" vertical="center"/>
    </xf>
    <xf numFmtId="5" fontId="269" fillId="26" borderId="36" xfId="62" applyNumberFormat="1" applyFont="1" applyFill="1" applyBorder="1" applyAlignment="1">
      <alignment horizontal="center" vertical="center"/>
    </xf>
    <xf numFmtId="0" fontId="246" fillId="0" borderId="0" xfId="58" applyFont="1" applyAlignment="1">
      <alignment vertical="center"/>
    </xf>
    <xf numFmtId="0" fontId="125" fillId="26" borderId="80" xfId="58" applyFont="1" applyFill="1" applyBorder="1" applyAlignment="1">
      <alignment vertical="center"/>
    </xf>
    <xf numFmtId="0" fontId="125" fillId="26" borderId="80" xfId="58" applyFont="1" applyFill="1" applyBorder="1" applyAlignment="1">
      <alignment horizontal="right" vertical="center"/>
    </xf>
    <xf numFmtId="2" fontId="125" fillId="32" borderId="132" xfId="58" applyNumberFormat="1" applyFont="1" applyFill="1" applyBorder="1" applyAlignment="1">
      <alignment horizontal="center" vertical="center"/>
    </xf>
    <xf numFmtId="0" fontId="125" fillId="26" borderId="40" xfId="58" applyFont="1" applyFill="1" applyBorder="1" applyAlignment="1">
      <alignment horizontal="right" vertical="center"/>
    </xf>
    <xf numFmtId="248" fontId="96" fillId="32" borderId="216" xfId="58" applyNumberFormat="1" applyFont="1" applyFill="1" applyBorder="1" applyAlignment="1">
      <alignment horizontal="center" vertical="center"/>
    </xf>
    <xf numFmtId="0" fontId="270" fillId="26" borderId="128" xfId="58" applyFont="1" applyFill="1" applyBorder="1" applyAlignment="1">
      <alignment horizontal="center" vertical="center" wrapText="1"/>
    </xf>
    <xf numFmtId="0" fontId="96" fillId="26" borderId="174" xfId="58" applyFont="1" applyFill="1" applyBorder="1"/>
    <xf numFmtId="0" fontId="96" fillId="26" borderId="38" xfId="58" applyFont="1" applyFill="1" applyBorder="1"/>
    <xf numFmtId="0" fontId="271" fillId="35" borderId="133" xfId="58" applyFont="1" applyFill="1" applyBorder="1" applyAlignment="1">
      <alignment horizontal="center" vertical="center"/>
    </xf>
    <xf numFmtId="0" fontId="96" fillId="26" borderId="198" xfId="58" applyFont="1" applyFill="1" applyBorder="1"/>
    <xf numFmtId="0" fontId="125" fillId="0" borderId="95" xfId="58" applyFont="1" applyBorder="1" applyAlignment="1" applyProtection="1">
      <alignment horizontal="center" vertical="center" wrapText="1"/>
    </xf>
    <xf numFmtId="0" fontId="96" fillId="26" borderId="0" xfId="58" applyFont="1" applyFill="1" applyBorder="1"/>
    <xf numFmtId="0" fontId="96" fillId="0" borderId="33" xfId="58" applyFont="1" applyBorder="1" applyAlignment="1">
      <alignment shrinkToFit="1"/>
    </xf>
    <xf numFmtId="0" fontId="125" fillId="0" borderId="64" xfId="58" applyFont="1" applyBorder="1" applyAlignment="1" applyProtection="1">
      <alignment horizontal="center" vertical="center" wrapText="1"/>
    </xf>
    <xf numFmtId="0" fontId="125" fillId="0" borderId="63" xfId="58" applyFont="1" applyBorder="1" applyAlignment="1" applyProtection="1">
      <alignment horizontal="center" vertical="center"/>
    </xf>
    <xf numFmtId="0" fontId="125" fillId="0" borderId="49" xfId="58" applyFont="1" applyBorder="1" applyAlignment="1">
      <alignment horizontal="center"/>
    </xf>
    <xf numFmtId="0" fontId="125" fillId="0" borderId="43" xfId="58" applyFont="1" applyBorder="1"/>
    <xf numFmtId="0" fontId="96" fillId="26" borderId="36" xfId="58" applyFont="1" applyFill="1" applyBorder="1"/>
    <xf numFmtId="0" fontId="96" fillId="26" borderId="52" xfId="58" applyFont="1" applyFill="1" applyBorder="1"/>
    <xf numFmtId="0" fontId="185" fillId="26" borderId="37" xfId="58" applyFont="1" applyFill="1" applyBorder="1"/>
    <xf numFmtId="2" fontId="96" fillId="35" borderId="177" xfId="58" applyNumberFormat="1" applyFont="1" applyFill="1" applyBorder="1" applyAlignment="1" applyProtection="1">
      <alignment horizontal="center" vertical="center"/>
    </xf>
    <xf numFmtId="224" fontId="96" fillId="32" borderId="188" xfId="62" applyNumberFormat="1" applyFont="1" applyFill="1" applyBorder="1" applyAlignment="1" applyProtection="1">
      <alignment horizontal="center" vertical="center"/>
      <protection locked="0"/>
    </xf>
    <xf numFmtId="224" fontId="96" fillId="35" borderId="188" xfId="62" applyNumberFormat="1" applyFont="1" applyFill="1" applyBorder="1" applyAlignment="1" applyProtection="1">
      <alignment horizontal="center" vertical="center"/>
    </xf>
    <xf numFmtId="224" fontId="96" fillId="32" borderId="191" xfId="62" applyNumberFormat="1" applyFont="1" applyFill="1" applyBorder="1" applyAlignment="1" applyProtection="1">
      <alignment horizontal="center" vertical="center"/>
      <protection locked="0"/>
    </xf>
    <xf numFmtId="10" fontId="96" fillId="32" borderId="120" xfId="41" applyNumberFormat="1" applyFont="1" applyFill="1" applyBorder="1" applyAlignment="1" applyProtection="1">
      <alignment horizontal="center" vertical="center"/>
      <protection locked="0"/>
    </xf>
    <xf numFmtId="6" fontId="96" fillId="32" borderId="118" xfId="62" applyNumberFormat="1" applyFont="1" applyFill="1" applyBorder="1" applyAlignment="1" applyProtection="1">
      <alignment horizontal="center" vertical="center"/>
    </xf>
    <xf numFmtId="5" fontId="96" fillId="35" borderId="217" xfId="62" applyNumberFormat="1" applyFont="1" applyFill="1" applyBorder="1" applyAlignment="1" applyProtection="1">
      <alignment horizontal="center" vertical="center"/>
    </xf>
    <xf numFmtId="2" fontId="96" fillId="35" borderId="181" xfId="58" applyNumberFormat="1" applyFont="1" applyFill="1" applyBorder="1" applyAlignment="1" applyProtection="1">
      <alignment horizontal="center" vertical="center"/>
    </xf>
    <xf numFmtId="224" fontId="96" fillId="32" borderId="190" xfId="62" applyNumberFormat="1" applyFont="1" applyFill="1" applyBorder="1" applyAlignment="1" applyProtection="1">
      <alignment horizontal="center" vertical="center"/>
      <protection locked="0"/>
    </xf>
    <xf numFmtId="224" fontId="96" fillId="35" borderId="190" xfId="62" applyNumberFormat="1" applyFont="1" applyFill="1" applyBorder="1" applyAlignment="1" applyProtection="1">
      <alignment horizontal="center" vertical="center"/>
    </xf>
    <xf numFmtId="224" fontId="96" fillId="32" borderId="21" xfId="62" applyNumberFormat="1" applyFont="1" applyFill="1" applyBorder="1" applyAlignment="1" applyProtection="1">
      <alignment horizontal="center" vertical="center"/>
      <protection locked="0"/>
    </xf>
    <xf numFmtId="10" fontId="96" fillId="32" borderId="180" xfId="41" applyNumberFormat="1" applyFont="1" applyFill="1" applyBorder="1" applyAlignment="1" applyProtection="1">
      <alignment horizontal="center" vertical="center"/>
      <protection locked="0"/>
    </xf>
    <xf numFmtId="6" fontId="96" fillId="32" borderId="193" xfId="62" applyNumberFormat="1" applyFont="1" applyFill="1" applyBorder="1" applyAlignment="1" applyProtection="1">
      <alignment horizontal="center" vertical="center"/>
    </xf>
    <xf numFmtId="5" fontId="96" fillId="35" borderId="219" xfId="62" applyNumberFormat="1" applyFont="1" applyFill="1" applyBorder="1" applyAlignment="1" applyProtection="1">
      <alignment horizontal="center" vertical="center"/>
    </xf>
    <xf numFmtId="0" fontId="96" fillId="26" borderId="0" xfId="58" applyFont="1" applyFill="1" applyBorder="1" applyAlignment="1"/>
    <xf numFmtId="0" fontId="96" fillId="26" borderId="38" xfId="58" applyFont="1" applyFill="1" applyBorder="1" applyAlignment="1"/>
    <xf numFmtId="0" fontId="96" fillId="26" borderId="37" xfId="58" applyFont="1" applyFill="1" applyBorder="1" applyAlignment="1">
      <alignment horizontal="center"/>
    </xf>
    <xf numFmtId="0" fontId="96" fillId="26" borderId="0" xfId="58" applyFont="1" applyFill="1" applyBorder="1" applyAlignment="1">
      <alignment horizontal="center"/>
    </xf>
    <xf numFmtId="248" fontId="96" fillId="26" borderId="56" xfId="58" applyNumberFormat="1" applyFont="1" applyFill="1" applyBorder="1" applyAlignment="1">
      <alignment horizontal="center"/>
    </xf>
    <xf numFmtId="0" fontId="125" fillId="26" borderId="28" xfId="58" applyFont="1" applyFill="1" applyBorder="1" applyAlignment="1">
      <alignment horizontal="center"/>
    </xf>
    <xf numFmtId="262" fontId="96" fillId="35" borderId="21" xfId="58" applyNumberFormat="1" applyFont="1" applyFill="1" applyBorder="1" applyAlignment="1">
      <alignment horizontal="center"/>
    </xf>
    <xf numFmtId="0" fontId="96" fillId="26" borderId="211" xfId="58" applyFont="1" applyFill="1" applyBorder="1" applyAlignment="1">
      <alignment horizontal="center"/>
    </xf>
    <xf numFmtId="224" fontId="96" fillId="32" borderId="21" xfId="62" applyNumberFormat="1" applyFont="1" applyFill="1" applyBorder="1" applyAlignment="1">
      <alignment horizontal="center"/>
    </xf>
    <xf numFmtId="6" fontId="96" fillId="26" borderId="21" xfId="62" applyNumberFormat="1" applyFont="1" applyFill="1" applyBorder="1"/>
    <xf numFmtId="0" fontId="96" fillId="26" borderId="38" xfId="58" applyFont="1" applyFill="1" applyBorder="1" applyAlignment="1">
      <alignment horizontal="center"/>
    </xf>
    <xf numFmtId="248" fontId="96" fillId="26" borderId="55" xfId="58" applyNumberFormat="1" applyFont="1" applyFill="1" applyBorder="1" applyAlignment="1">
      <alignment horizontal="center"/>
    </xf>
    <xf numFmtId="6" fontId="96" fillId="26" borderId="209" xfId="62" applyNumberFormat="1" applyFont="1" applyFill="1" applyBorder="1"/>
    <xf numFmtId="6" fontId="96" fillId="0" borderId="0" xfId="58" applyNumberFormat="1" applyFont="1" applyAlignment="1">
      <alignment horizontal="left"/>
    </xf>
    <xf numFmtId="224" fontId="96" fillId="35" borderId="21" xfId="62" applyNumberFormat="1" applyFont="1" applyFill="1" applyBorder="1" applyAlignment="1">
      <alignment horizontal="center"/>
    </xf>
    <xf numFmtId="6" fontId="96" fillId="26" borderId="184" xfId="62" applyNumberFormat="1" applyFont="1" applyFill="1" applyBorder="1"/>
    <xf numFmtId="6" fontId="96" fillId="26" borderId="143" xfId="58" applyNumberFormat="1" applyFont="1" applyFill="1" applyBorder="1"/>
    <xf numFmtId="6" fontId="96" fillId="32" borderId="179" xfId="62" applyNumberFormat="1" applyFont="1" applyFill="1" applyBorder="1" applyAlignment="1" applyProtection="1">
      <alignment horizontal="center" vertical="center"/>
    </xf>
    <xf numFmtId="0" fontId="96" fillId="26" borderId="41" xfId="58" applyFont="1" applyFill="1" applyBorder="1" applyAlignment="1"/>
    <xf numFmtId="2" fontId="96" fillId="35" borderId="133" xfId="58" applyNumberFormat="1" applyFont="1" applyFill="1" applyBorder="1" applyAlignment="1" applyProtection="1">
      <alignment horizontal="center" vertical="center"/>
    </xf>
    <xf numFmtId="224" fontId="96" fillId="32" borderId="196" xfId="62" applyNumberFormat="1" applyFont="1" applyFill="1" applyBorder="1" applyAlignment="1" applyProtection="1">
      <alignment horizontal="center" vertical="center"/>
      <protection locked="0"/>
    </xf>
    <xf numFmtId="224" fontId="96" fillId="35" borderId="196" xfId="62" applyNumberFormat="1" applyFont="1" applyFill="1" applyBorder="1" applyAlignment="1" applyProtection="1">
      <alignment horizontal="center" vertical="center"/>
    </xf>
    <xf numFmtId="224" fontId="96" fillId="32" borderId="197" xfId="62" applyNumberFormat="1" applyFont="1" applyFill="1" applyBorder="1" applyAlignment="1" applyProtection="1">
      <alignment horizontal="center" vertical="center"/>
      <protection locked="0"/>
    </xf>
    <xf numFmtId="10" fontId="96" fillId="32" borderId="201" xfId="41" applyNumberFormat="1" applyFont="1" applyFill="1" applyBorder="1" applyAlignment="1" applyProtection="1">
      <alignment horizontal="center" vertical="center"/>
      <protection locked="0"/>
    </xf>
    <xf numFmtId="6" fontId="96" fillId="32" borderId="207" xfId="62" applyNumberFormat="1" applyFont="1" applyFill="1" applyBorder="1" applyAlignment="1" applyProtection="1">
      <alignment horizontal="center" vertical="center"/>
    </xf>
    <xf numFmtId="5" fontId="96" fillId="35" borderId="220" xfId="62" applyNumberFormat="1" applyFont="1" applyFill="1" applyBorder="1" applyAlignment="1" applyProtection="1">
      <alignment horizontal="center" vertical="center"/>
    </xf>
    <xf numFmtId="2" fontId="88" fillId="32" borderId="130" xfId="62" applyNumberFormat="1" applyFont="1" applyFill="1" applyBorder="1" applyAlignment="1">
      <alignment horizontal="center"/>
    </xf>
    <xf numFmtId="224" fontId="88" fillId="32" borderId="190" xfId="62" applyNumberFormat="1" applyFont="1" applyFill="1" applyBorder="1" applyAlignment="1">
      <alignment horizontal="center"/>
    </xf>
    <xf numFmtId="224" fontId="125" fillId="32" borderId="199" xfId="62" applyNumberFormat="1" applyFont="1" applyFill="1" applyBorder="1" applyAlignment="1" applyProtection="1">
      <alignment horizontal="center" vertical="center"/>
    </xf>
    <xf numFmtId="224" fontId="88" fillId="32" borderId="200" xfId="62" applyNumberFormat="1" applyFont="1" applyFill="1" applyBorder="1" applyAlignment="1" applyProtection="1">
      <alignment horizontal="center" vertical="center"/>
    </xf>
    <xf numFmtId="10" fontId="96" fillId="0" borderId="192" xfId="41" applyNumberFormat="1" applyFont="1" applyFill="1" applyBorder="1" applyAlignment="1" applyProtection="1">
      <alignment horizontal="center" vertical="center"/>
    </xf>
    <xf numFmtId="258" fontId="125" fillId="26" borderId="207" xfId="58" applyNumberFormat="1" applyFont="1" applyFill="1" applyBorder="1" applyAlignment="1" applyProtection="1">
      <alignment horizontal="center" vertical="center"/>
    </xf>
    <xf numFmtId="253" fontId="125" fillId="32" borderId="196" xfId="62" applyNumberFormat="1" applyFont="1" applyFill="1" applyBorder="1" applyAlignment="1">
      <alignment horizontal="center"/>
    </xf>
    <xf numFmtId="224" fontId="127" fillId="32" borderId="210" xfId="62" applyNumberFormat="1" applyFont="1" applyFill="1" applyBorder="1" applyAlignment="1" applyProtection="1">
      <alignment horizontal="center" vertical="center"/>
    </xf>
    <xf numFmtId="258" fontId="127" fillId="26" borderId="209" xfId="58" applyNumberFormat="1" applyFont="1" applyFill="1" applyBorder="1" applyAlignment="1" applyProtection="1">
      <alignment horizontal="center" vertical="center"/>
    </xf>
    <xf numFmtId="253" fontId="127" fillId="32" borderId="209" xfId="62" applyNumberFormat="1" applyFont="1" applyFill="1" applyBorder="1" applyAlignment="1" applyProtection="1">
      <alignment horizontal="center" vertical="center" shrinkToFit="1"/>
    </xf>
    <xf numFmtId="10" fontId="96" fillId="0" borderId="38" xfId="41" applyNumberFormat="1" applyFont="1" applyFill="1" applyBorder="1" applyAlignment="1" applyProtection="1">
      <alignment horizontal="center" vertical="center"/>
    </xf>
    <xf numFmtId="0" fontId="88" fillId="27" borderId="89" xfId="58" applyFont="1" applyFill="1" applyBorder="1" applyAlignment="1">
      <alignment horizontal="center" vertical="center"/>
    </xf>
    <xf numFmtId="0" fontId="273" fillId="26" borderId="35" xfId="58" applyFont="1" applyFill="1" applyBorder="1" applyAlignment="1">
      <alignment horizontal="left"/>
    </xf>
    <xf numFmtId="0" fontId="273" fillId="26" borderId="36" xfId="58" applyFont="1" applyFill="1" applyBorder="1" applyAlignment="1">
      <alignment horizontal="left"/>
    </xf>
    <xf numFmtId="0" fontId="273" fillId="26" borderId="52" xfId="58" applyFont="1" applyFill="1" applyBorder="1" applyAlignment="1">
      <alignment horizontal="left"/>
    </xf>
    <xf numFmtId="0" fontId="96" fillId="32" borderId="193" xfId="58" applyNumberFormat="1" applyFont="1" applyFill="1" applyBorder="1" applyAlignment="1" applyProtection="1">
      <alignment horizontal="left" vertical="center"/>
      <protection locked="0"/>
    </xf>
    <xf numFmtId="0" fontId="96" fillId="32" borderId="136" xfId="58" applyNumberFormat="1" applyFont="1" applyFill="1" applyBorder="1" applyAlignment="1" applyProtection="1">
      <alignment horizontal="left" vertical="center"/>
      <protection locked="0"/>
    </xf>
    <xf numFmtId="223" fontId="96" fillId="32" borderId="188" xfId="62" applyNumberFormat="1" applyFont="1" applyFill="1" applyBorder="1" applyAlignment="1" applyProtection="1">
      <alignment horizontal="left" vertical="center"/>
    </xf>
    <xf numFmtId="224" fontId="96" fillId="32" borderId="221" xfId="62" applyNumberFormat="1" applyFont="1" applyFill="1" applyBorder="1" applyAlignment="1" applyProtection="1">
      <alignment horizontal="center" vertical="center"/>
    </xf>
    <xf numFmtId="223" fontId="96" fillId="35" borderId="180" xfId="62" applyNumberFormat="1" applyFont="1" applyFill="1" applyBorder="1" applyAlignment="1" applyProtection="1">
      <alignment horizontal="center" vertical="center"/>
    </xf>
    <xf numFmtId="0" fontId="96" fillId="32" borderId="211" xfId="58" applyNumberFormat="1" applyFont="1" applyFill="1" applyBorder="1" applyAlignment="1" applyProtection="1">
      <alignment horizontal="left" vertical="center"/>
      <protection locked="0"/>
    </xf>
    <xf numFmtId="223" fontId="96" fillId="32" borderId="190" xfId="62" applyNumberFormat="1" applyFont="1" applyFill="1" applyBorder="1" applyAlignment="1" applyProtection="1">
      <alignment horizontal="left" vertical="center"/>
    </xf>
    <xf numFmtId="224" fontId="96" fillId="35" borderId="180" xfId="62" applyNumberFormat="1" applyFont="1" applyFill="1" applyBorder="1" applyAlignment="1" applyProtection="1">
      <alignment horizontal="center" vertical="center"/>
    </xf>
    <xf numFmtId="0" fontId="96" fillId="32" borderId="112" xfId="58" applyNumberFormat="1" applyFont="1" applyFill="1" applyBorder="1" applyAlignment="1" applyProtection="1">
      <alignment horizontal="left" vertical="center"/>
      <protection locked="0"/>
    </xf>
    <xf numFmtId="0" fontId="96" fillId="32" borderId="113" xfId="58" applyNumberFormat="1" applyFont="1" applyFill="1" applyBorder="1" applyAlignment="1" applyProtection="1">
      <alignment horizontal="left" vertical="center"/>
      <protection locked="0"/>
    </xf>
    <xf numFmtId="223" fontId="96" fillId="32" borderId="172" xfId="62" applyNumberFormat="1" applyFont="1" applyFill="1" applyBorder="1" applyAlignment="1" applyProtection="1">
      <alignment horizontal="left" vertical="center"/>
    </xf>
    <xf numFmtId="224" fontId="96" fillId="32" borderId="222" xfId="62" applyNumberFormat="1" applyFont="1" applyFill="1" applyBorder="1" applyAlignment="1" applyProtection="1">
      <alignment horizontal="center" vertical="center"/>
    </xf>
    <xf numFmtId="224" fontId="125" fillId="26" borderId="199" xfId="62" applyNumberFormat="1" applyFont="1" applyFill="1" applyBorder="1" applyAlignment="1" applyProtection="1">
      <alignment horizontal="center" vertical="center"/>
    </xf>
    <xf numFmtId="224" fontId="125" fillId="32" borderId="227" xfId="62" applyNumberFormat="1" applyFont="1" applyFill="1" applyBorder="1" applyAlignment="1" applyProtection="1">
      <alignment horizontal="center" vertical="center"/>
    </xf>
    <xf numFmtId="224" fontId="125" fillId="32" borderId="228" xfId="62" applyNumberFormat="1" applyFont="1" applyFill="1" applyBorder="1" applyAlignment="1" applyProtection="1">
      <alignment horizontal="center" vertical="center"/>
    </xf>
    <xf numFmtId="2" fontId="96" fillId="32" borderId="47" xfId="58" applyNumberFormat="1" applyFont="1" applyFill="1" applyBorder="1" applyAlignment="1" applyProtection="1">
      <alignment horizontal="center" vertical="center"/>
    </xf>
    <xf numFmtId="224" fontId="96" fillId="32" borderId="11" xfId="62" applyNumberFormat="1" applyFont="1" applyFill="1" applyBorder="1" applyAlignment="1" applyProtection="1">
      <alignment horizontal="center" vertical="center"/>
      <protection locked="0"/>
    </xf>
    <xf numFmtId="224" fontId="96" fillId="26" borderId="172" xfId="62" applyNumberFormat="1" applyFont="1" applyFill="1" applyBorder="1" applyAlignment="1" applyProtection="1">
      <alignment horizontal="center" vertical="center"/>
      <protection locked="0"/>
    </xf>
    <xf numFmtId="224" fontId="96" fillId="32" borderId="223" xfId="62" applyNumberFormat="1" applyFont="1" applyFill="1" applyBorder="1" applyAlignment="1" applyProtection="1">
      <alignment horizontal="center" vertical="center"/>
    </xf>
    <xf numFmtId="224" fontId="125" fillId="32" borderId="60" xfId="62" applyNumberFormat="1" applyFont="1" applyFill="1" applyBorder="1" applyAlignment="1" applyProtection="1">
      <alignment horizontal="center" vertical="center"/>
    </xf>
    <xf numFmtId="224" fontId="125" fillId="0" borderId="196" xfId="62" applyNumberFormat="1" applyFont="1" applyFill="1" applyBorder="1" applyAlignment="1" applyProtection="1">
      <alignment horizontal="center" vertical="center"/>
    </xf>
    <xf numFmtId="224" fontId="88" fillId="32" borderId="40" xfId="62" applyNumberFormat="1" applyFont="1" applyFill="1" applyBorder="1" applyAlignment="1" applyProtection="1">
      <alignment horizontal="center" vertical="center"/>
    </xf>
    <xf numFmtId="224" fontId="125" fillId="32" borderId="83" xfId="62" applyNumberFormat="1" applyFont="1" applyFill="1" applyBorder="1" applyAlignment="1" applyProtection="1">
      <alignment horizontal="center" vertical="center"/>
    </xf>
    <xf numFmtId="10" fontId="96" fillId="32" borderId="25" xfId="41" applyNumberFormat="1" applyFont="1" applyFill="1" applyBorder="1" applyAlignment="1">
      <alignment horizontal="center" vertical="center"/>
    </xf>
    <xf numFmtId="0" fontId="88" fillId="26" borderId="124" xfId="58" applyFont="1" applyFill="1" applyBorder="1" applyAlignment="1" applyProtection="1">
      <alignment horizontal="center" vertical="center"/>
    </xf>
    <xf numFmtId="0" fontId="182" fillId="0" borderId="49" xfId="58" applyFont="1" applyFill="1" applyBorder="1" applyAlignment="1" applyProtection="1">
      <alignment vertical="center"/>
    </xf>
    <xf numFmtId="0" fontId="182" fillId="0" borderId="13" xfId="58" applyFont="1" applyFill="1" applyBorder="1" applyAlignment="1" applyProtection="1">
      <alignment vertical="center"/>
    </xf>
    <xf numFmtId="0" fontId="96" fillId="0" borderId="13" xfId="58" applyFont="1" applyBorder="1"/>
    <xf numFmtId="0" fontId="174" fillId="26" borderId="0" xfId="58" applyFont="1" applyFill="1" applyBorder="1"/>
    <xf numFmtId="44" fontId="88" fillId="32" borderId="49" xfId="62" applyFont="1" applyFill="1" applyBorder="1" applyAlignment="1">
      <alignment horizontal="center" vertical="center"/>
    </xf>
    <xf numFmtId="0" fontId="96" fillId="26" borderId="37" xfId="58" applyFont="1" applyFill="1" applyBorder="1" applyAlignment="1">
      <alignment horizontal="left"/>
    </xf>
    <xf numFmtId="10" fontId="96" fillId="26" borderId="49" xfId="41" applyNumberFormat="1" applyFont="1" applyFill="1" applyBorder="1" applyAlignment="1">
      <alignment horizontal="center" vertical="center"/>
    </xf>
    <xf numFmtId="0" fontId="88" fillId="26" borderId="131" xfId="58" applyFont="1" applyFill="1" applyBorder="1" applyAlignment="1" applyProtection="1">
      <alignment horizontal="center" vertical="center"/>
    </xf>
    <xf numFmtId="44" fontId="88" fillId="32" borderId="50" xfId="62" applyFont="1" applyFill="1" applyBorder="1" applyAlignment="1">
      <alignment horizontal="center" vertical="center"/>
    </xf>
    <xf numFmtId="0" fontId="96" fillId="26" borderId="0" xfId="58" applyFont="1" applyFill="1" applyBorder="1" applyAlignment="1">
      <alignment vertical="center"/>
    </xf>
    <xf numFmtId="0" fontId="96" fillId="26" borderId="38" xfId="58" applyFont="1" applyFill="1" applyBorder="1" applyAlignment="1">
      <alignment vertical="center"/>
    </xf>
    <xf numFmtId="0" fontId="96" fillId="0" borderId="0" xfId="58" applyFont="1" applyAlignment="1">
      <alignment vertical="center"/>
    </xf>
    <xf numFmtId="0" fontId="96" fillId="0" borderId="0" xfId="58" applyFont="1" applyBorder="1" applyAlignment="1">
      <alignment vertical="center"/>
    </xf>
    <xf numFmtId="0" fontId="125" fillId="26" borderId="37" xfId="58" applyFont="1" applyFill="1" applyBorder="1" applyAlignment="1">
      <alignment horizontal="center"/>
    </xf>
    <xf numFmtId="0" fontId="88" fillId="27" borderId="53" xfId="58" applyNumberFormat="1" applyFont="1" applyFill="1" applyBorder="1" applyAlignment="1" applyProtection="1">
      <alignment vertical="center"/>
      <protection locked="0"/>
    </xf>
    <xf numFmtId="0" fontId="88" fillId="27" borderId="54" xfId="58" applyNumberFormat="1" applyFont="1" applyFill="1" applyBorder="1" applyAlignment="1" applyProtection="1">
      <alignment vertical="center"/>
      <protection locked="0"/>
    </xf>
    <xf numFmtId="0" fontId="88" fillId="27" borderId="59" xfId="58" applyNumberFormat="1" applyFont="1" applyFill="1" applyBorder="1" applyAlignment="1" applyProtection="1">
      <alignment vertical="center"/>
      <protection locked="0"/>
    </xf>
    <xf numFmtId="0" fontId="125" fillId="35" borderId="110" xfId="58" applyFont="1" applyFill="1" applyBorder="1" applyAlignment="1" applyProtection="1">
      <alignment vertical="center"/>
      <protection locked="0"/>
    </xf>
    <xf numFmtId="0" fontId="125" fillId="35" borderId="136" xfId="58" applyFont="1" applyFill="1" applyBorder="1" applyAlignment="1" applyProtection="1">
      <alignment vertical="center"/>
      <protection locked="0"/>
    </xf>
    <xf numFmtId="0" fontId="125" fillId="35" borderId="202" xfId="58" applyFont="1" applyFill="1" applyBorder="1" applyAlignment="1" applyProtection="1">
      <alignment vertical="center"/>
      <protection locked="0"/>
    </xf>
    <xf numFmtId="0" fontId="125" fillId="35" borderId="193" xfId="58" applyFont="1" applyFill="1" applyBorder="1" applyAlignment="1" applyProtection="1">
      <alignment vertical="center"/>
      <protection locked="0"/>
    </xf>
    <xf numFmtId="0" fontId="125" fillId="35" borderId="211" xfId="58" applyFont="1" applyFill="1" applyBorder="1" applyAlignment="1" applyProtection="1">
      <alignment vertical="center"/>
      <protection locked="0"/>
    </xf>
    <xf numFmtId="0" fontId="125" fillId="35" borderId="212" xfId="58" applyFont="1" applyFill="1" applyBorder="1" applyAlignment="1" applyProtection="1">
      <alignment vertical="center"/>
      <protection locked="0"/>
    </xf>
    <xf numFmtId="0" fontId="125" fillId="35" borderId="37" xfId="58" applyFont="1" applyFill="1" applyBorder="1" applyAlignment="1" applyProtection="1">
      <alignment vertical="center"/>
      <protection locked="0"/>
    </xf>
    <xf numFmtId="0" fontId="125" fillId="35" borderId="0" xfId="58" applyFont="1" applyFill="1" applyBorder="1" applyAlignment="1" applyProtection="1">
      <alignment vertical="center"/>
      <protection locked="0"/>
    </xf>
    <xf numFmtId="0" fontId="125" fillId="35" borderId="38" xfId="58" applyFont="1" applyFill="1" applyBorder="1" applyAlignment="1" applyProtection="1">
      <alignment vertical="center"/>
      <protection locked="0"/>
    </xf>
    <xf numFmtId="0" fontId="125" fillId="35" borderId="39" xfId="58" applyFont="1" applyFill="1" applyBorder="1" applyAlignment="1" applyProtection="1">
      <alignment vertical="center"/>
      <protection locked="0"/>
    </xf>
    <xf numFmtId="0" fontId="125" fillId="35" borderId="40" xfId="58" applyFont="1" applyFill="1" applyBorder="1" applyAlignment="1" applyProtection="1">
      <alignment vertical="center"/>
      <protection locked="0"/>
    </xf>
    <xf numFmtId="0" fontId="125" fillId="35" borderId="41" xfId="58" applyFont="1" applyFill="1" applyBorder="1" applyAlignment="1" applyProtection="1">
      <alignment vertical="center"/>
      <protection locked="0"/>
    </xf>
    <xf numFmtId="0" fontId="125" fillId="26" borderId="39" xfId="58" applyFont="1" applyFill="1" applyBorder="1" applyAlignment="1">
      <alignment horizontal="center"/>
    </xf>
    <xf numFmtId="0" fontId="125" fillId="26" borderId="40" xfId="58" applyFont="1" applyFill="1" applyBorder="1" applyAlignment="1" applyProtection="1">
      <alignment vertical="center"/>
      <protection locked="0"/>
    </xf>
    <xf numFmtId="0" fontId="139" fillId="0" borderId="0" xfId="0" applyFont="1" applyAlignment="1" applyProtection="1">
      <alignment horizontal="center" vertical="center"/>
    </xf>
    <xf numFmtId="0" fontId="275" fillId="0" borderId="0" xfId="0" applyFont="1" applyAlignment="1" applyProtection="1">
      <alignment vertical="center"/>
    </xf>
    <xf numFmtId="0" fontId="152" fillId="0" borderId="0" xfId="0" applyFont="1" applyProtection="1"/>
    <xf numFmtId="0" fontId="139" fillId="0" borderId="10" xfId="0" applyFont="1" applyBorder="1" applyAlignment="1" applyProtection="1">
      <alignment horizontal="center"/>
    </xf>
    <xf numFmtId="0" fontId="139" fillId="0" borderId="12" xfId="0" applyFont="1" applyBorder="1" applyAlignment="1" applyProtection="1">
      <alignment horizontal="center"/>
    </xf>
    <xf numFmtId="0" fontId="96" fillId="0" borderId="10" xfId="0" applyFont="1" applyBorder="1" applyAlignment="1" applyProtection="1">
      <alignment horizontal="center"/>
    </xf>
    <xf numFmtId="0" fontId="96" fillId="0" borderId="12" xfId="0" applyFont="1" applyBorder="1" applyAlignment="1" applyProtection="1">
      <alignment horizontal="center"/>
    </xf>
    <xf numFmtId="0" fontId="153" fillId="0" borderId="0" xfId="0" applyFont="1" applyAlignment="1" applyProtection="1">
      <alignment horizontal="center"/>
    </xf>
    <xf numFmtId="0" fontId="152" fillId="0" borderId="0" xfId="0" applyFont="1" applyAlignment="1" applyProtection="1">
      <alignment horizontal="center"/>
    </xf>
    <xf numFmtId="0" fontId="152" fillId="47" borderId="0" xfId="0" applyFont="1" applyFill="1" applyAlignment="1" applyProtection="1">
      <alignment horizontal="center"/>
    </xf>
    <xf numFmtId="0" fontId="152" fillId="40" borderId="0" xfId="0" applyFont="1" applyFill="1" applyAlignment="1" applyProtection="1">
      <alignment horizontal="center"/>
    </xf>
    <xf numFmtId="0" fontId="88" fillId="0" borderId="0" xfId="0" applyFont="1" applyProtection="1"/>
    <xf numFmtId="0" fontId="274" fillId="0" borderId="0" xfId="0" applyFont="1" applyAlignment="1" applyProtection="1">
      <alignment horizontal="center"/>
    </xf>
    <xf numFmtId="0" fontId="182" fillId="52" borderId="13" xfId="0" applyFont="1" applyFill="1" applyBorder="1" applyAlignment="1" applyProtection="1">
      <alignment horizontal="center" vertical="center"/>
      <protection locked="0"/>
    </xf>
    <xf numFmtId="0" fontId="182" fillId="52" borderId="12" xfId="0" applyFont="1" applyFill="1" applyBorder="1" applyAlignment="1" applyProtection="1">
      <alignment horizontal="center" vertical="center"/>
      <protection locked="0"/>
    </xf>
    <xf numFmtId="0" fontId="152" fillId="49" borderId="0" xfId="0" applyFont="1" applyFill="1" applyAlignment="1" applyProtection="1">
      <alignment horizontal="center"/>
    </xf>
    <xf numFmtId="0" fontId="88" fillId="47" borderId="13" xfId="0" applyFont="1" applyFill="1" applyBorder="1" applyAlignment="1" applyProtection="1">
      <alignment horizontal="center" vertical="center"/>
      <protection locked="0"/>
    </xf>
    <xf numFmtId="0" fontId="124" fillId="0" borderId="0" xfId="0" applyFont="1" applyAlignment="1" applyProtection="1">
      <alignment vertical="center"/>
    </xf>
    <xf numFmtId="0" fontId="124" fillId="0" borderId="0" xfId="0" applyFont="1" applyAlignment="1" applyProtection="1">
      <alignment vertical="top"/>
    </xf>
    <xf numFmtId="0" fontId="124" fillId="0" borderId="0" xfId="0" applyFont="1" applyAlignment="1" applyProtection="1">
      <alignment horizontal="center" vertical="center"/>
    </xf>
    <xf numFmtId="0" fontId="179" fillId="0" borderId="0" xfId="0" applyFont="1" applyAlignment="1" applyProtection="1">
      <alignment horizontal="center" vertical="center"/>
    </xf>
    <xf numFmtId="0" fontId="182" fillId="47" borderId="15" xfId="0" applyFont="1" applyFill="1" applyBorder="1" applyAlignment="1" applyProtection="1">
      <alignment vertical="center"/>
      <protection locked="0"/>
    </xf>
    <xf numFmtId="0" fontId="182" fillId="47" borderId="13" xfId="0" applyFont="1" applyFill="1" applyBorder="1" applyAlignment="1" applyProtection="1">
      <alignment vertical="center"/>
      <protection locked="0"/>
    </xf>
    <xf numFmtId="0" fontId="152" fillId="0" borderId="0" xfId="0" applyFont="1" applyAlignment="1" applyProtection="1">
      <alignment horizontal="left" vertical="center"/>
    </xf>
    <xf numFmtId="0" fontId="88" fillId="47" borderId="34" xfId="0" applyFont="1" applyFill="1" applyBorder="1" applyAlignment="1" applyProtection="1">
      <alignment horizontal="center" vertical="center"/>
      <protection locked="0"/>
    </xf>
    <xf numFmtId="0" fontId="88" fillId="47" borderId="13" xfId="0" applyNumberFormat="1" applyFont="1" applyFill="1" applyBorder="1" applyAlignment="1" applyProtection="1">
      <alignment horizontal="center" vertical="center"/>
      <protection locked="0"/>
    </xf>
    <xf numFmtId="0" fontId="125" fillId="0" borderId="0" xfId="0" applyFont="1" applyAlignment="1" applyProtection="1">
      <alignment horizontal="right"/>
    </xf>
    <xf numFmtId="10" fontId="88" fillId="47" borderId="13" xfId="0" applyNumberFormat="1" applyFont="1" applyFill="1" applyBorder="1" applyAlignment="1" applyProtection="1">
      <alignment vertical="center"/>
      <protection locked="0"/>
    </xf>
    <xf numFmtId="0" fontId="139" fillId="0" borderId="0" xfId="0" applyFont="1" applyFill="1" applyAlignment="1" applyProtection="1">
      <alignment vertical="center"/>
    </xf>
    <xf numFmtId="49" fontId="192" fillId="47" borderId="13" xfId="0" applyNumberFormat="1" applyFont="1" applyFill="1" applyBorder="1" applyAlignment="1" applyProtection="1">
      <alignment horizontal="center" vertical="center"/>
      <protection locked="0"/>
    </xf>
    <xf numFmtId="0" fontId="124" fillId="0" borderId="0" xfId="0" applyFont="1" applyFill="1" applyAlignment="1" applyProtection="1">
      <alignment vertical="center"/>
    </xf>
    <xf numFmtId="0" fontId="234" fillId="0" borderId="0" xfId="0" applyFont="1" applyFill="1" applyBorder="1" applyAlignment="1" applyProtection="1">
      <alignment vertical="center"/>
    </xf>
    <xf numFmtId="10" fontId="88" fillId="47" borderId="13" xfId="0" applyNumberFormat="1" applyFont="1" applyFill="1" applyBorder="1" applyAlignment="1" applyProtection="1">
      <alignment horizontal="right" vertical="center"/>
      <protection locked="0"/>
    </xf>
    <xf numFmtId="0" fontId="125" fillId="0" borderId="40" xfId="0" applyFont="1" applyBorder="1" applyAlignment="1" applyProtection="1">
      <alignment horizontal="center"/>
    </xf>
    <xf numFmtId="0" fontId="139" fillId="0" borderId="37" xfId="0" applyFont="1" applyBorder="1" applyAlignment="1" applyProtection="1">
      <alignment horizontal="left"/>
    </xf>
    <xf numFmtId="1" fontId="88" fillId="24" borderId="110" xfId="0" applyNumberFormat="1" applyFont="1" applyFill="1" applyBorder="1" applyAlignment="1" applyProtection="1">
      <alignment vertical="center" wrapText="1"/>
      <protection locked="0"/>
    </xf>
    <xf numFmtId="0" fontId="96" fillId="0" borderId="107" xfId="0" applyFont="1" applyFill="1" applyBorder="1" applyAlignment="1" applyProtection="1">
      <alignment vertical="center" wrapText="1"/>
    </xf>
    <xf numFmtId="1" fontId="88" fillId="26" borderId="111" xfId="0" applyNumberFormat="1" applyFont="1" applyFill="1" applyBorder="1" applyAlignment="1" applyProtection="1">
      <alignment horizontal="center" vertical="center" wrapText="1"/>
    </xf>
    <xf numFmtId="2" fontId="128" fillId="0" borderId="0" xfId="0" applyNumberFormat="1" applyFont="1" applyAlignment="1" applyProtection="1">
      <alignment horizontal="center"/>
    </xf>
    <xf numFmtId="2" fontId="128" fillId="0" borderId="0" xfId="0" applyNumberFormat="1" applyFont="1" applyProtection="1"/>
    <xf numFmtId="0" fontId="139" fillId="0" borderId="37" xfId="0" applyFont="1" applyBorder="1" applyAlignment="1" applyProtection="1">
      <alignment horizontal="left" vertical="center"/>
    </xf>
    <xf numFmtId="0" fontId="128" fillId="0" borderId="0" xfId="0" applyFont="1" applyAlignment="1" applyProtection="1">
      <alignment horizontal="center"/>
    </xf>
    <xf numFmtId="0" fontId="128" fillId="0" borderId="0" xfId="0" applyFont="1" applyProtection="1"/>
    <xf numFmtId="0" fontId="139" fillId="0" borderId="37" xfId="0" applyFont="1" applyBorder="1" applyAlignment="1" applyProtection="1">
      <alignment horizontal="right" vertical="center"/>
    </xf>
    <xf numFmtId="14" fontId="182" fillId="47" borderId="78" xfId="0" applyNumberFormat="1" applyFont="1" applyFill="1" applyBorder="1" applyAlignment="1" applyProtection="1">
      <alignment horizontal="center" vertical="center" wrapText="1"/>
      <protection locked="0"/>
    </xf>
    <xf numFmtId="14" fontId="182" fillId="47" borderId="15" xfId="0" applyNumberFormat="1" applyFont="1" applyFill="1" applyBorder="1" applyAlignment="1" applyProtection="1">
      <alignment horizontal="center" vertical="center" wrapText="1"/>
      <protection locked="0"/>
    </xf>
    <xf numFmtId="14" fontId="182" fillId="47" borderId="156" xfId="0" applyNumberFormat="1" applyFont="1" applyFill="1" applyBorder="1" applyAlignment="1" applyProtection="1">
      <alignment horizontal="center" vertical="center" wrapText="1"/>
      <protection locked="0"/>
    </xf>
    <xf numFmtId="14" fontId="182" fillId="47" borderId="105" xfId="0" applyNumberFormat="1" applyFont="1" applyFill="1" applyBorder="1" applyAlignment="1" applyProtection="1">
      <alignment horizontal="center" vertical="center" wrapText="1"/>
      <protection locked="0"/>
    </xf>
    <xf numFmtId="14" fontId="88" fillId="47" borderId="49" xfId="0" applyNumberFormat="1" applyFont="1" applyFill="1" applyBorder="1" applyAlignment="1" applyProtection="1">
      <alignment horizontal="center" vertical="center" wrapText="1"/>
      <protection locked="0"/>
    </xf>
    <xf numFmtId="0" fontId="125" fillId="32" borderId="85" xfId="0" applyFont="1" applyFill="1" applyBorder="1" applyAlignment="1" applyProtection="1"/>
    <xf numFmtId="0" fontId="128" fillId="0" borderId="0" xfId="0" applyNumberFormat="1" applyFont="1" applyAlignment="1" applyProtection="1">
      <alignment horizontal="center"/>
    </xf>
    <xf numFmtId="0" fontId="128" fillId="0" borderId="0" xfId="0" applyNumberFormat="1" applyFont="1" applyAlignment="1" applyProtection="1"/>
    <xf numFmtId="0" fontId="139" fillId="0" borderId="39" xfId="0" applyFont="1" applyBorder="1" applyAlignment="1" applyProtection="1">
      <alignment horizontal="right" vertical="center" wrapText="1"/>
    </xf>
    <xf numFmtId="14" fontId="182" fillId="47" borderId="80" xfId="0" applyNumberFormat="1" applyFont="1" applyFill="1" applyBorder="1" applyAlignment="1" applyProtection="1">
      <alignment horizontal="center" vertical="center" wrapText="1"/>
      <protection locked="0"/>
    </xf>
    <xf numFmtId="14" fontId="182" fillId="47" borderId="86" xfId="0" applyNumberFormat="1" applyFont="1" applyFill="1" applyBorder="1" applyAlignment="1" applyProtection="1">
      <alignment horizontal="center" vertical="center" wrapText="1"/>
      <protection locked="0"/>
    </xf>
    <xf numFmtId="14" fontId="182" fillId="47" borderId="155" xfId="0" applyNumberFormat="1" applyFont="1" applyFill="1" applyBorder="1" applyAlignment="1" applyProtection="1">
      <alignment horizontal="center" vertical="center" wrapText="1"/>
      <protection locked="0"/>
    </xf>
    <xf numFmtId="14" fontId="182" fillId="47" borderId="91" xfId="0" applyNumberFormat="1" applyFont="1" applyFill="1" applyBorder="1" applyAlignment="1" applyProtection="1">
      <alignment horizontal="center" vertical="center" wrapText="1"/>
      <protection locked="0"/>
    </xf>
    <xf numFmtId="14" fontId="88" fillId="37" borderId="50" xfId="0" applyNumberFormat="1" applyFont="1" applyFill="1" applyBorder="1" applyAlignment="1" applyProtection="1">
      <alignment horizontal="center" vertical="center" wrapText="1"/>
      <protection locked="0"/>
    </xf>
    <xf numFmtId="0" fontId="125" fillId="26" borderId="83" xfId="0" applyFont="1" applyFill="1" applyBorder="1" applyAlignment="1" applyProtection="1">
      <alignment vertical="center"/>
    </xf>
    <xf numFmtId="0" fontId="96" fillId="0" borderId="47" xfId="0" applyFont="1" applyBorder="1" applyAlignment="1" applyProtection="1">
      <alignment vertical="center" wrapText="1"/>
    </xf>
    <xf numFmtId="2" fontId="182" fillId="47" borderId="47" xfId="0" applyNumberFormat="1" applyFont="1" applyFill="1" applyBorder="1" applyAlignment="1" applyProtection="1">
      <alignment vertical="center"/>
      <protection locked="0"/>
    </xf>
    <xf numFmtId="2" fontId="182" fillId="47" borderId="45" xfId="90" applyNumberFormat="1" applyFont="1" applyFill="1" applyBorder="1" applyAlignment="1" applyProtection="1">
      <alignment vertical="center"/>
      <protection locked="0"/>
    </xf>
    <xf numFmtId="2" fontId="182" fillId="47" borderId="157" xfId="90" applyNumberFormat="1" applyFont="1" applyFill="1" applyBorder="1" applyAlignment="1" applyProtection="1">
      <alignment vertical="center"/>
      <protection locked="0"/>
    </xf>
    <xf numFmtId="2" fontId="182" fillId="47" borderId="11" xfId="90" applyNumberFormat="1" applyFont="1" applyFill="1" applyBorder="1" applyAlignment="1" applyProtection="1">
      <alignment vertical="center"/>
      <protection locked="0"/>
    </xf>
    <xf numFmtId="216" fontId="182" fillId="40" borderId="49" xfId="0" applyNumberFormat="1" applyFont="1" applyFill="1" applyBorder="1" applyAlignment="1" applyProtection="1">
      <alignment horizontal="right" vertical="center"/>
    </xf>
    <xf numFmtId="0" fontId="139" fillId="32" borderId="36" xfId="0" applyNumberFormat="1" applyFont="1" applyFill="1" applyBorder="1" applyAlignment="1" applyProtection="1">
      <alignment horizontal="center" vertical="center"/>
    </xf>
    <xf numFmtId="10" fontId="96" fillId="0" borderId="71" xfId="0" applyNumberFormat="1" applyFont="1" applyBorder="1" applyProtection="1"/>
    <xf numFmtId="0" fontId="96" fillId="0" borderId="78" xfId="0" applyFont="1" applyBorder="1" applyAlignment="1" applyProtection="1">
      <alignment vertical="center" wrapText="1"/>
    </xf>
    <xf numFmtId="186" fontId="139" fillId="32" borderId="0" xfId="0" applyNumberFormat="1" applyFont="1" applyFill="1" applyBorder="1" applyAlignment="1" applyProtection="1">
      <alignment horizontal="center" vertical="center"/>
    </xf>
    <xf numFmtId="2" fontId="182" fillId="47" borderId="78" xfId="0" applyNumberFormat="1" applyFont="1" applyFill="1" applyBorder="1" applyAlignment="1" applyProtection="1">
      <alignment vertical="center"/>
      <protection locked="0"/>
    </xf>
    <xf numFmtId="2" fontId="182" fillId="47" borderId="15" xfId="90" applyNumberFormat="1" applyFont="1" applyFill="1" applyBorder="1" applyAlignment="1" applyProtection="1">
      <alignment vertical="center"/>
      <protection locked="0"/>
    </xf>
    <xf numFmtId="2" fontId="182" fillId="47" borderId="156" xfId="90" applyNumberFormat="1" applyFont="1" applyFill="1" applyBorder="1" applyAlignment="1" applyProtection="1">
      <alignment vertical="center"/>
      <protection locked="0"/>
    </xf>
    <xf numFmtId="2" fontId="182" fillId="47" borderId="10" xfId="90" applyNumberFormat="1" applyFont="1" applyFill="1" applyBorder="1" applyAlignment="1" applyProtection="1">
      <alignment vertical="center"/>
      <protection locked="0"/>
    </xf>
    <xf numFmtId="0" fontId="96" fillId="0" borderId="80" xfId="0" applyFont="1" applyBorder="1" applyAlignment="1" applyProtection="1">
      <alignment vertical="center" wrapText="1"/>
    </xf>
    <xf numFmtId="2" fontId="182" fillId="47" borderId="80" xfId="0" applyNumberFormat="1" applyFont="1" applyFill="1" applyBorder="1" applyAlignment="1" applyProtection="1">
      <alignment vertical="center"/>
      <protection locked="0"/>
    </xf>
    <xf numFmtId="2" fontId="182" fillId="47" borderId="86" xfId="90" applyNumberFormat="1" applyFont="1" applyFill="1" applyBorder="1" applyAlignment="1" applyProtection="1">
      <alignment vertical="center"/>
      <protection locked="0"/>
    </xf>
    <xf numFmtId="2" fontId="182" fillId="47" borderId="155" xfId="90" applyNumberFormat="1" applyFont="1" applyFill="1" applyBorder="1" applyAlignment="1" applyProtection="1">
      <alignment vertical="center"/>
      <protection locked="0"/>
    </xf>
    <xf numFmtId="2" fontId="182" fillId="47" borderId="82" xfId="90" applyNumberFormat="1" applyFont="1" applyFill="1" applyBorder="1" applyAlignment="1" applyProtection="1">
      <alignment vertical="center"/>
      <protection locked="0"/>
    </xf>
    <xf numFmtId="216" fontId="182" fillId="40" borderId="50" xfId="0" applyNumberFormat="1" applyFont="1" applyFill="1" applyBorder="1" applyAlignment="1" applyProtection="1">
      <alignment horizontal="right"/>
    </xf>
    <xf numFmtId="186" fontId="139" fillId="32" borderId="109" xfId="0" applyNumberFormat="1" applyFont="1" applyFill="1" applyBorder="1" applyAlignment="1" applyProtection="1">
      <alignment horizontal="center" vertical="center"/>
    </xf>
    <xf numFmtId="0" fontId="152" fillId="0" borderId="0" xfId="0" applyFont="1" applyAlignment="1" applyProtection="1">
      <alignment vertical="center"/>
    </xf>
    <xf numFmtId="0" fontId="96" fillId="0" borderId="69" xfId="0" applyFont="1" applyBorder="1" applyAlignment="1" applyProtection="1">
      <alignment vertical="center" wrapText="1"/>
    </xf>
    <xf numFmtId="2" fontId="182" fillId="47" borderId="69" xfId="0" applyNumberFormat="1" applyFont="1" applyFill="1" applyBorder="1" applyAlignment="1" applyProtection="1">
      <alignment vertical="center"/>
      <protection locked="0"/>
    </xf>
    <xf numFmtId="2" fontId="182" fillId="47" borderId="67" xfId="90" applyNumberFormat="1" applyFont="1" applyFill="1" applyBorder="1" applyAlignment="1" applyProtection="1">
      <alignment vertical="center"/>
      <protection locked="0"/>
    </xf>
    <xf numFmtId="2" fontId="182" fillId="47" borderId="158" xfId="90" applyNumberFormat="1" applyFont="1" applyFill="1" applyBorder="1" applyAlignment="1" applyProtection="1">
      <alignment vertical="center"/>
      <protection locked="0"/>
    </xf>
    <xf numFmtId="2" fontId="182" fillId="47" borderId="81" xfId="90" applyNumberFormat="1" applyFont="1" applyFill="1" applyBorder="1" applyAlignment="1" applyProtection="1">
      <alignment vertical="center"/>
      <protection locked="0"/>
    </xf>
    <xf numFmtId="216" fontId="182" fillId="40" borderId="25" xfId="0" applyNumberFormat="1" applyFont="1" applyFill="1" applyBorder="1" applyAlignment="1" applyProtection="1">
      <alignment horizontal="right"/>
    </xf>
    <xf numFmtId="2" fontId="182" fillId="47" borderId="30" xfId="0" applyNumberFormat="1" applyFont="1" applyFill="1" applyBorder="1" applyAlignment="1" applyProtection="1">
      <alignment vertical="center"/>
      <protection locked="0"/>
    </xf>
    <xf numFmtId="2" fontId="182" fillId="47" borderId="108" xfId="90" applyNumberFormat="1" applyFont="1" applyFill="1" applyBorder="1" applyAlignment="1" applyProtection="1">
      <alignment vertical="center"/>
      <protection locked="0"/>
    </xf>
    <xf numFmtId="2" fontId="182" fillId="47" borderId="159" xfId="90" applyNumberFormat="1" applyFont="1" applyFill="1" applyBorder="1" applyAlignment="1" applyProtection="1">
      <alignment vertical="center"/>
      <protection locked="0"/>
    </xf>
    <xf numFmtId="2" fontId="182" fillId="47" borderId="40" xfId="90" applyNumberFormat="1" applyFont="1" applyFill="1" applyBorder="1" applyAlignment="1" applyProtection="1">
      <alignment vertical="center"/>
      <protection locked="0"/>
    </xf>
    <xf numFmtId="216" fontId="182" fillId="40" borderId="30" xfId="0" applyNumberFormat="1" applyFont="1" applyFill="1" applyBorder="1" applyAlignment="1" applyProtection="1">
      <alignment horizontal="right"/>
    </xf>
    <xf numFmtId="0" fontId="96" fillId="0" borderId="39" xfId="0" applyFont="1" applyBorder="1" applyAlignment="1" applyProtection="1">
      <alignment vertical="center" wrapText="1"/>
      <protection locked="0"/>
    </xf>
    <xf numFmtId="2" fontId="182" fillId="37" borderId="108" xfId="0" applyNumberFormat="1" applyFont="1" applyFill="1" applyBorder="1" applyAlignment="1" applyProtection="1">
      <alignment vertical="center"/>
      <protection locked="0"/>
    </xf>
    <xf numFmtId="2" fontId="182" fillId="37" borderId="159" xfId="0" applyNumberFormat="1" applyFont="1" applyFill="1" applyBorder="1" applyAlignment="1" applyProtection="1">
      <alignment vertical="center"/>
      <protection locked="0"/>
    </xf>
    <xf numFmtId="2" fontId="182" fillId="37" borderId="40" xfId="0" applyNumberFormat="1" applyFont="1" applyFill="1" applyBorder="1" applyAlignment="1" applyProtection="1">
      <alignment vertical="center"/>
      <protection locked="0"/>
    </xf>
    <xf numFmtId="216" fontId="182" fillId="37" borderId="30" xfId="0" applyNumberFormat="1" applyFont="1" applyFill="1" applyBorder="1" applyAlignment="1" applyProtection="1">
      <alignment horizontal="right" vertical="center"/>
      <protection locked="0"/>
    </xf>
    <xf numFmtId="186" fontId="125" fillId="32" borderId="40" xfId="0" applyNumberFormat="1" applyFont="1" applyFill="1" applyBorder="1" applyAlignment="1" applyProtection="1">
      <alignment vertical="center"/>
    </xf>
    <xf numFmtId="0" fontId="96" fillId="0" borderId="127" xfId="0" applyFont="1" applyBorder="1" applyAlignment="1" applyProtection="1">
      <alignment horizontal="right" vertical="center"/>
    </xf>
    <xf numFmtId="216" fontId="182" fillId="35" borderId="0" xfId="0" applyNumberFormat="1" applyFont="1" applyFill="1" applyAlignment="1" applyProtection="1">
      <alignment vertical="center"/>
      <protection locked="0"/>
    </xf>
    <xf numFmtId="2" fontId="96" fillId="32" borderId="161" xfId="0" applyNumberFormat="1" applyFont="1" applyFill="1" applyBorder="1" applyAlignment="1" applyProtection="1">
      <alignment horizontal="right" vertical="center" shrinkToFit="1"/>
    </xf>
    <xf numFmtId="2" fontId="182" fillId="47" borderId="59" xfId="0" applyNumberFormat="1" applyFont="1" applyFill="1" applyBorder="1" applyAlignment="1" applyProtection="1">
      <alignment horizontal="right" vertical="center"/>
      <protection locked="0"/>
    </xf>
    <xf numFmtId="216" fontId="182" fillId="40" borderId="50" xfId="0" applyNumberFormat="1" applyFont="1" applyFill="1" applyBorder="1" applyAlignment="1" applyProtection="1">
      <alignment horizontal="right" vertical="center"/>
      <protection locked="0"/>
    </xf>
    <xf numFmtId="2" fontId="96" fillId="32" borderId="89" xfId="0" quotePrefix="1" applyNumberFormat="1" applyFont="1" applyFill="1" applyBorder="1" applyAlignment="1" applyProtection="1">
      <alignment vertical="center"/>
    </xf>
    <xf numFmtId="10" fontId="96" fillId="0" borderId="41" xfId="0" applyNumberFormat="1" applyFont="1" applyBorder="1" applyProtection="1"/>
    <xf numFmtId="14" fontId="152" fillId="0" borderId="0" xfId="0" applyNumberFormat="1" applyFont="1" applyProtection="1"/>
    <xf numFmtId="2" fontId="278" fillId="0" borderId="70" xfId="0" applyNumberFormat="1" applyFont="1" applyBorder="1" applyAlignment="1" applyProtection="1">
      <alignment horizontal="center" vertical="center"/>
    </xf>
    <xf numFmtId="1" fontId="88" fillId="32" borderId="69" xfId="0" applyNumberFormat="1" applyFont="1" applyFill="1" applyBorder="1" applyAlignment="1" applyProtection="1">
      <alignment horizontal="center" vertical="center" wrapText="1"/>
    </xf>
    <xf numFmtId="1" fontId="88" fillId="0" borderId="92" xfId="0" applyNumberFormat="1" applyFont="1" applyBorder="1" applyAlignment="1" applyProtection="1">
      <alignment horizontal="center" vertical="center" wrapText="1"/>
    </xf>
    <xf numFmtId="1" fontId="88" fillId="0" borderId="69" xfId="0" applyNumberFormat="1" applyFont="1" applyBorder="1" applyAlignment="1" applyProtection="1">
      <alignment horizontal="center" vertical="center" wrapText="1"/>
    </xf>
    <xf numFmtId="1" fontId="88" fillId="0" borderId="81" xfId="0" applyNumberFormat="1" applyFont="1" applyBorder="1" applyAlignment="1" applyProtection="1">
      <alignment horizontal="center" vertical="center" wrapText="1"/>
    </xf>
    <xf numFmtId="1" fontId="88" fillId="0" borderId="70" xfId="0" applyNumberFormat="1" applyFont="1" applyBorder="1" applyAlignment="1" applyProtection="1">
      <alignment horizontal="center" vertical="center" wrapText="1"/>
    </xf>
    <xf numFmtId="1" fontId="219" fillId="0" borderId="37" xfId="0" applyNumberFormat="1" applyFont="1" applyBorder="1" applyAlignment="1" applyProtection="1">
      <alignment horizontal="center" vertical="center" wrapText="1" shrinkToFit="1"/>
    </xf>
    <xf numFmtId="1" fontId="125" fillId="0" borderId="38" xfId="0" applyNumberFormat="1" applyFont="1" applyBorder="1" applyAlignment="1" applyProtection="1">
      <alignment horizontal="center" vertical="center" wrapText="1"/>
    </xf>
    <xf numFmtId="1" fontId="219" fillId="0" borderId="37" xfId="0" applyNumberFormat="1" applyFont="1" applyBorder="1" applyAlignment="1" applyProtection="1">
      <alignment horizontal="center" vertical="center" wrapText="1"/>
    </xf>
    <xf numFmtId="1" fontId="219" fillId="0" borderId="0" xfId="0" applyNumberFormat="1" applyFont="1" applyBorder="1" applyAlignment="1" applyProtection="1">
      <alignment horizontal="center" vertical="center" wrapText="1"/>
    </xf>
    <xf numFmtId="1" fontId="139" fillId="0" borderId="71" xfId="0" applyNumberFormat="1" applyFont="1" applyBorder="1" applyAlignment="1" applyProtection="1">
      <alignment horizontal="center" vertical="center" wrapText="1"/>
    </xf>
    <xf numFmtId="1" fontId="96" fillId="0" borderId="37" xfId="0" applyNumberFormat="1" applyFont="1" applyBorder="1" applyAlignment="1" applyProtection="1">
      <alignment horizontal="center" vertical="center" wrapText="1"/>
    </xf>
    <xf numFmtId="0" fontId="96" fillId="0" borderId="38" xfId="0" applyFont="1" applyBorder="1" applyAlignment="1" applyProtection="1">
      <alignment horizontal="center" vertical="center" wrapText="1"/>
    </xf>
    <xf numFmtId="1" fontId="139" fillId="0" borderId="37" xfId="0" applyNumberFormat="1" applyFont="1" applyBorder="1" applyAlignment="1" applyProtection="1">
      <alignment horizontal="center" vertical="center" wrapText="1"/>
    </xf>
    <xf numFmtId="1" fontId="139" fillId="0" borderId="0" xfId="0" applyNumberFormat="1" applyFont="1" applyBorder="1" applyAlignment="1" applyProtection="1">
      <alignment horizontal="center" vertical="center" wrapText="1"/>
    </xf>
    <xf numFmtId="2" fontId="123" fillId="0" borderId="69" xfId="0" applyNumberFormat="1" applyFont="1" applyBorder="1" applyAlignment="1" applyProtection="1">
      <alignment horizontal="left" vertical="center"/>
    </xf>
    <xf numFmtId="3" fontId="182" fillId="47" borderId="69" xfId="55" applyNumberFormat="1" applyFont="1" applyFill="1" applyBorder="1" applyAlignment="1" applyProtection="1">
      <alignment vertical="center"/>
      <protection locked="0"/>
    </xf>
    <xf numFmtId="0" fontId="96" fillId="0" borderId="92" xfId="0" applyFont="1" applyBorder="1" applyAlignment="1" applyProtection="1">
      <alignment vertical="center"/>
    </xf>
    <xf numFmtId="2" fontId="123" fillId="0" borderId="78" xfId="0" applyNumberFormat="1" applyFont="1" applyBorder="1" applyAlignment="1" applyProtection="1">
      <alignment vertical="center" wrapText="1"/>
    </xf>
    <xf numFmtId="3" fontId="182" fillId="47" borderId="78" xfId="55" applyNumberFormat="1" applyFont="1" applyFill="1" applyBorder="1" applyAlignment="1" applyProtection="1">
      <alignment vertical="center"/>
      <protection locked="0"/>
    </xf>
    <xf numFmtId="0" fontId="96" fillId="0" borderId="105" xfId="0" applyFont="1" applyBorder="1" applyAlignment="1" applyProtection="1">
      <alignment vertical="center"/>
    </xf>
    <xf numFmtId="2" fontId="219" fillId="0" borderId="80" xfId="0" applyNumberFormat="1" applyFont="1" applyBorder="1" applyAlignment="1" applyProtection="1">
      <alignment vertical="center" wrapText="1"/>
    </xf>
    <xf numFmtId="3" fontId="182" fillId="47" borderId="80" xfId="55" applyNumberFormat="1" applyFont="1" applyFill="1" applyBorder="1" applyAlignment="1" applyProtection="1">
      <alignment vertical="center"/>
      <protection locked="0"/>
    </xf>
    <xf numFmtId="0" fontId="96" fillId="0" borderId="91" xfId="0" applyFont="1" applyBorder="1" applyAlignment="1" applyProtection="1">
      <alignment vertical="center"/>
    </xf>
    <xf numFmtId="0" fontId="96" fillId="0" borderId="69" xfId="0" applyFont="1" applyBorder="1" applyProtection="1"/>
    <xf numFmtId="0" fontId="244" fillId="0" borderId="81" xfId="0" applyFont="1" applyBorder="1" applyProtection="1"/>
    <xf numFmtId="0" fontId="96" fillId="0" borderId="81" xfId="0" applyFont="1" applyBorder="1" applyProtection="1"/>
    <xf numFmtId="0" fontId="96" fillId="0" borderId="92" xfId="0" applyFont="1" applyBorder="1" applyProtection="1"/>
    <xf numFmtId="0" fontId="88" fillId="0" borderId="80" xfId="0" applyFont="1" applyBorder="1" applyAlignment="1" applyProtection="1">
      <alignment horizontal="center"/>
    </xf>
    <xf numFmtId="0" fontId="96" fillId="0" borderId="82" xfId="0" applyFont="1" applyBorder="1" applyAlignment="1" applyProtection="1">
      <alignment horizontal="center"/>
    </xf>
    <xf numFmtId="1" fontId="87" fillId="0" borderId="82" xfId="0" applyNumberFormat="1" applyFont="1" applyBorder="1" applyAlignment="1" applyProtection="1">
      <alignment horizontal="center"/>
    </xf>
    <xf numFmtId="1" fontId="125" fillId="0" borderId="82" xfId="0" applyNumberFormat="1" applyFont="1" applyBorder="1" applyProtection="1"/>
    <xf numFmtId="0" fontId="96" fillId="0" borderId="91" xfId="0" applyFont="1" applyBorder="1" applyProtection="1"/>
    <xf numFmtId="0" fontId="124" fillId="0" borderId="53" xfId="0" applyFont="1" applyBorder="1" applyAlignment="1" applyProtection="1">
      <alignment horizontal="center" vertical="center" wrapText="1"/>
    </xf>
    <xf numFmtId="0" fontId="87" fillId="37" borderId="33" xfId="0" applyFont="1" applyFill="1" applyBorder="1" applyAlignment="1" applyProtection="1">
      <alignment horizontal="center" vertical="center"/>
      <protection locked="0"/>
    </xf>
    <xf numFmtId="0" fontId="139" fillId="0" borderId="66" xfId="0" applyFont="1" applyBorder="1" applyAlignment="1" applyProtection="1">
      <alignment horizontal="center" vertical="center" wrapText="1"/>
    </xf>
    <xf numFmtId="0" fontId="139" fillId="0" borderId="89" xfId="0" applyFont="1" applyBorder="1" applyAlignment="1" applyProtection="1">
      <alignment horizontal="center" vertical="center" wrapText="1"/>
    </xf>
    <xf numFmtId="0" fontId="279" fillId="32" borderId="84" xfId="0" applyFont="1" applyFill="1" applyBorder="1" applyAlignment="1" applyProtection="1">
      <alignment horizontal="center" vertical="center" wrapText="1"/>
    </xf>
    <xf numFmtId="0" fontId="279" fillId="32" borderId="59" xfId="0" applyFont="1" applyFill="1" applyBorder="1" applyAlignment="1" applyProtection="1">
      <alignment horizontal="center" vertical="center" wrapText="1"/>
    </xf>
    <xf numFmtId="0" fontId="96" fillId="0" borderId="69" xfId="0" applyFont="1" applyBorder="1" applyAlignment="1" applyProtection="1">
      <alignment vertical="center"/>
    </xf>
    <xf numFmtId="3" fontId="182" fillId="27" borderId="25" xfId="0" applyNumberFormat="1" applyFont="1" applyFill="1" applyBorder="1" applyAlignment="1" applyProtection="1">
      <alignment vertical="center"/>
      <protection locked="0"/>
    </xf>
    <xf numFmtId="0" fontId="182" fillId="27" borderId="26" xfId="0" applyFont="1" applyFill="1" applyBorder="1" applyAlignment="1" applyProtection="1">
      <alignment vertical="center"/>
      <protection locked="0"/>
    </xf>
    <xf numFmtId="3" fontId="96" fillId="27" borderId="87" xfId="0" applyNumberFormat="1" applyFont="1" applyFill="1" applyBorder="1" applyAlignment="1" applyProtection="1">
      <alignment vertical="center"/>
    </xf>
    <xf numFmtId="0" fontId="96" fillId="36" borderId="92" xfId="0" applyFont="1" applyFill="1" applyBorder="1" applyAlignment="1" applyProtection="1">
      <alignment vertical="center"/>
    </xf>
    <xf numFmtId="0" fontId="96" fillId="0" borderId="105" xfId="0" applyFont="1" applyBorder="1" applyProtection="1"/>
    <xf numFmtId="3" fontId="182" fillId="47" borderId="49" xfId="90" applyNumberFormat="1" applyFont="1" applyFill="1" applyBorder="1" applyAlignment="1" applyProtection="1">
      <alignment vertical="center"/>
      <protection locked="0"/>
    </xf>
    <xf numFmtId="3" fontId="182" fillId="47" borderId="29" xfId="90" applyNumberFormat="1" applyFont="1" applyFill="1" applyBorder="1" applyAlignment="1" applyProtection="1">
      <alignment vertical="center"/>
      <protection locked="0"/>
    </xf>
    <xf numFmtId="3" fontId="96" fillId="32" borderId="12" xfId="0" applyNumberFormat="1" applyFont="1" applyFill="1" applyBorder="1" applyAlignment="1" applyProtection="1">
      <alignment vertical="center"/>
    </xf>
    <xf numFmtId="3" fontId="96" fillId="32" borderId="105" xfId="0" applyNumberFormat="1" applyFont="1" applyFill="1" applyBorder="1" applyAlignment="1" applyProtection="1">
      <alignment vertical="center"/>
    </xf>
    <xf numFmtId="0" fontId="96" fillId="0" borderId="80" xfId="0" applyFont="1" applyBorder="1" applyAlignment="1" applyProtection="1">
      <alignment vertical="center"/>
    </xf>
    <xf numFmtId="3" fontId="182" fillId="47" borderId="50" xfId="90" applyNumberFormat="1" applyFont="1" applyFill="1" applyBorder="1" applyAlignment="1" applyProtection="1">
      <alignment vertical="center"/>
      <protection locked="0"/>
    </xf>
    <xf numFmtId="3" fontId="182" fillId="47" borderId="68" xfId="90" applyNumberFormat="1" applyFont="1" applyFill="1" applyBorder="1" applyAlignment="1" applyProtection="1">
      <alignment vertical="center"/>
      <protection locked="0"/>
    </xf>
    <xf numFmtId="3" fontId="96" fillId="32" borderId="50" xfId="0" applyNumberFormat="1" applyFont="1" applyFill="1" applyBorder="1" applyAlignment="1" applyProtection="1">
      <alignment vertical="center"/>
    </xf>
    <xf numFmtId="3" fontId="96" fillId="32" borderId="91" xfId="0" applyNumberFormat="1" applyFont="1" applyFill="1" applyBorder="1" applyAlignment="1" applyProtection="1">
      <alignment vertical="center"/>
    </xf>
    <xf numFmtId="0" fontId="152" fillId="0" borderId="39" xfId="0" applyFont="1" applyBorder="1" applyAlignment="1" applyProtection="1">
      <alignment horizontal="center" vertical="center" wrapText="1"/>
    </xf>
    <xf numFmtId="0" fontId="96" fillId="0" borderId="41" xfId="0" applyFont="1" applyBorder="1" applyAlignment="1" applyProtection="1">
      <alignment horizontal="center" vertical="center"/>
    </xf>
    <xf numFmtId="3" fontId="182" fillId="47" borderId="30" xfId="90" applyNumberFormat="1" applyFont="1" applyFill="1" applyBorder="1" applyAlignment="1" applyProtection="1">
      <alignment vertical="center"/>
      <protection locked="0"/>
    </xf>
    <xf numFmtId="3" fontId="182" fillId="47" borderId="41" xfId="90" applyNumberFormat="1" applyFont="1" applyFill="1" applyBorder="1" applyAlignment="1" applyProtection="1">
      <alignment vertical="center"/>
      <protection locked="0"/>
    </xf>
    <xf numFmtId="3" fontId="96" fillId="32" borderId="0" xfId="0" applyNumberFormat="1" applyFont="1" applyFill="1" applyBorder="1" applyAlignment="1" applyProtection="1">
      <alignment vertical="center"/>
    </xf>
    <xf numFmtId="0" fontId="96" fillId="0" borderId="0" xfId="0" applyFont="1" applyBorder="1" applyAlignment="1" applyProtection="1"/>
    <xf numFmtId="0" fontId="96" fillId="0" borderId="0" xfId="0" applyFont="1" applyFill="1" applyBorder="1" applyAlignment="1" applyProtection="1"/>
    <xf numFmtId="0" fontId="152" fillId="0" borderId="0" xfId="0" applyFont="1" applyBorder="1" applyProtection="1"/>
    <xf numFmtId="1" fontId="87" fillId="32" borderId="53" xfId="0" applyNumberFormat="1" applyFont="1" applyFill="1" applyBorder="1" applyAlignment="1" applyProtection="1">
      <alignment horizontal="center" vertical="center"/>
    </xf>
    <xf numFmtId="1" fontId="125" fillId="32" borderId="54" xfId="0" applyNumberFormat="1" applyFont="1" applyFill="1" applyBorder="1" applyAlignment="1" applyProtection="1">
      <alignment vertical="center"/>
    </xf>
    <xf numFmtId="0" fontId="158" fillId="0" borderId="78" xfId="0" applyFont="1" applyBorder="1" applyAlignment="1" applyProtection="1">
      <alignment horizontal="center" vertical="center" wrapText="1"/>
    </xf>
    <xf numFmtId="1" fontId="87" fillId="47" borderId="33" xfId="0" applyNumberFormat="1" applyFont="1" applyFill="1" applyBorder="1" applyAlignment="1" applyProtection="1">
      <alignment horizontal="center" vertical="center"/>
      <protection locked="0"/>
    </xf>
    <xf numFmtId="0" fontId="139" fillId="0" borderId="90" xfId="0" applyFont="1" applyBorder="1" applyAlignment="1" applyProtection="1">
      <alignment horizontal="center" vertical="center" wrapText="1"/>
    </xf>
    <xf numFmtId="0" fontId="96" fillId="0" borderId="11" xfId="0" applyFont="1" applyBorder="1" applyProtection="1"/>
    <xf numFmtId="3" fontId="182" fillId="47" borderId="49" xfId="0" applyNumberFormat="1" applyFont="1" applyFill="1" applyBorder="1" applyAlignment="1" applyProtection="1">
      <alignment vertical="center"/>
      <protection locked="0"/>
    </xf>
    <xf numFmtId="3" fontId="182" fillId="47" borderId="29" xfId="0" applyNumberFormat="1" applyFont="1" applyFill="1" applyBorder="1" applyAlignment="1" applyProtection="1">
      <alignment vertical="center"/>
      <protection locked="0"/>
    </xf>
    <xf numFmtId="0" fontId="96" fillId="0" borderId="10" xfId="0" applyFont="1" applyBorder="1" applyProtection="1"/>
    <xf numFmtId="0" fontId="96" fillId="0" borderId="82" xfId="0" applyFont="1" applyBorder="1" applyProtection="1"/>
    <xf numFmtId="3" fontId="182" fillId="47" borderId="50" xfId="0" applyNumberFormat="1" applyFont="1" applyFill="1" applyBorder="1" applyAlignment="1" applyProtection="1">
      <alignment vertical="center"/>
      <protection locked="0"/>
    </xf>
    <xf numFmtId="0" fontId="182" fillId="47" borderId="32" xfId="0" applyFont="1" applyFill="1" applyBorder="1" applyAlignment="1" applyProtection="1">
      <alignment vertical="center"/>
      <protection locked="0"/>
    </xf>
    <xf numFmtId="0" fontId="152" fillId="0" borderId="53" xfId="0" applyFont="1" applyBorder="1" applyAlignment="1" applyProtection="1">
      <alignment horizontal="center" vertical="center" wrapText="1"/>
    </xf>
    <xf numFmtId="0" fontId="96" fillId="0" borderId="54" xfId="0" applyFont="1" applyBorder="1" applyAlignment="1" applyProtection="1">
      <alignment horizontal="center" vertical="center"/>
    </xf>
    <xf numFmtId="3" fontId="182" fillId="47" borderId="30" xfId="0" applyNumberFormat="1" applyFont="1" applyFill="1" applyBorder="1" applyAlignment="1" applyProtection="1">
      <alignment vertical="center"/>
      <protection locked="0"/>
    </xf>
    <xf numFmtId="3" fontId="182" fillId="47" borderId="41" xfId="0" applyNumberFormat="1" applyFont="1" applyFill="1" applyBorder="1" applyAlignment="1" applyProtection="1">
      <alignment vertical="center"/>
      <protection locked="0"/>
    </xf>
    <xf numFmtId="0" fontId="152" fillId="0" borderId="0" xfId="0" applyFont="1" applyBorder="1" applyAlignment="1" applyProtection="1">
      <alignment horizontal="center" vertical="center" wrapText="1"/>
    </xf>
    <xf numFmtId="0" fontId="96" fillId="0" borderId="0" xfId="0" applyFont="1" applyBorder="1" applyAlignment="1" applyProtection="1">
      <alignment horizontal="center" vertical="center"/>
    </xf>
    <xf numFmtId="0" fontId="87" fillId="37" borderId="89" xfId="0" applyFont="1" applyFill="1" applyBorder="1" applyAlignment="1" applyProtection="1">
      <alignment horizontal="center" vertical="center"/>
      <protection locked="0"/>
    </xf>
    <xf numFmtId="0" fontId="281" fillId="36" borderId="33" xfId="0" applyFont="1" applyFill="1" applyBorder="1" applyAlignment="1" applyProtection="1">
      <alignment horizontal="center" vertical="center" wrapText="1"/>
    </xf>
    <xf numFmtId="0" fontId="243" fillId="0" borderId="0"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wrapText="1"/>
    </xf>
    <xf numFmtId="0" fontId="125" fillId="0" borderId="0" xfId="0" applyFont="1" applyFill="1" applyBorder="1" applyProtection="1"/>
    <xf numFmtId="3" fontId="182" fillId="47" borderId="46" xfId="0" applyNumberFormat="1" applyFont="1" applyFill="1" applyBorder="1" applyAlignment="1" applyProtection="1">
      <alignment vertical="center"/>
      <protection locked="0"/>
    </xf>
    <xf numFmtId="0" fontId="182" fillId="47" borderId="60" xfId="0" applyFont="1" applyFill="1" applyBorder="1" applyAlignment="1" applyProtection="1">
      <alignment vertical="center"/>
      <protection locked="0"/>
    </xf>
    <xf numFmtId="3" fontId="96" fillId="27" borderId="63" xfId="0" applyNumberFormat="1" applyFont="1" applyFill="1" applyBorder="1" applyAlignment="1" applyProtection="1">
      <alignment vertical="center"/>
    </xf>
    <xf numFmtId="3" fontId="96" fillId="36" borderId="74" xfId="0" applyNumberFormat="1" applyFont="1" applyFill="1" applyBorder="1" applyAlignment="1" applyProtection="1">
      <alignment vertical="center"/>
    </xf>
    <xf numFmtId="3" fontId="96" fillId="0" borderId="0" xfId="0" applyNumberFormat="1" applyFont="1" applyFill="1" applyBorder="1" applyAlignment="1" applyProtection="1">
      <alignment vertical="center"/>
    </xf>
    <xf numFmtId="1" fontId="96" fillId="0" borderId="0" xfId="0" applyNumberFormat="1" applyFont="1" applyFill="1" applyBorder="1" applyProtection="1"/>
    <xf numFmtId="0" fontId="96" fillId="36" borderId="80" xfId="0" applyFont="1" applyFill="1" applyBorder="1" applyAlignment="1" applyProtection="1">
      <alignment vertical="center"/>
    </xf>
    <xf numFmtId="0" fontId="96" fillId="36" borderId="91" xfId="0" applyFont="1" applyFill="1" applyBorder="1" applyProtection="1"/>
    <xf numFmtId="3" fontId="96" fillId="36" borderId="68" xfId="0" applyNumberFormat="1" applyFont="1" applyFill="1" applyBorder="1" applyAlignment="1" applyProtection="1">
      <alignment vertical="center"/>
    </xf>
    <xf numFmtId="0" fontId="96" fillId="36" borderId="32" xfId="0" applyNumberFormat="1" applyFont="1" applyFill="1" applyBorder="1" applyAlignment="1" applyProtection="1">
      <alignment vertical="center"/>
    </xf>
    <xf numFmtId="3" fontId="96" fillId="36" borderId="64" xfId="0" applyNumberFormat="1" applyFont="1" applyFill="1" applyBorder="1" applyAlignment="1" applyProtection="1">
      <alignment vertical="center"/>
    </xf>
    <xf numFmtId="3" fontId="96" fillId="26" borderId="53" xfId="0" applyNumberFormat="1" applyFont="1" applyFill="1" applyBorder="1" applyAlignment="1" applyProtection="1">
      <alignment vertical="center"/>
    </xf>
    <xf numFmtId="3" fontId="96" fillId="26" borderId="54" xfId="0" applyNumberFormat="1" applyFont="1" applyFill="1" applyBorder="1" applyAlignment="1" applyProtection="1">
      <alignment vertical="center"/>
    </xf>
    <xf numFmtId="0" fontId="182" fillId="47" borderId="33" xfId="0" applyNumberFormat="1" applyFont="1" applyFill="1" applyBorder="1" applyAlignment="1" applyProtection="1">
      <alignment vertical="center"/>
      <protection locked="0"/>
    </xf>
    <xf numFmtId="190" fontId="96" fillId="0" borderId="0" xfId="0" applyNumberFormat="1" applyFont="1" applyAlignment="1" applyProtection="1">
      <alignment vertical="center"/>
    </xf>
    <xf numFmtId="1" fontId="96" fillId="0" borderId="0" xfId="0" quotePrefix="1" applyNumberFormat="1" applyFont="1" applyFill="1" applyBorder="1" applyAlignment="1" applyProtection="1">
      <alignment vertical="center"/>
    </xf>
    <xf numFmtId="2" fontId="182" fillId="47" borderId="33" xfId="0" applyNumberFormat="1" applyFont="1" applyFill="1" applyBorder="1" applyAlignment="1" applyProtection="1">
      <alignment vertical="center"/>
      <protection locked="0"/>
    </xf>
    <xf numFmtId="0" fontId="86" fillId="0" borderId="0" xfId="0" applyFont="1" applyFill="1" applyBorder="1" applyAlignment="1" applyProtection="1"/>
    <xf numFmtId="0" fontId="96" fillId="0" borderId="0" xfId="0" applyFont="1" applyFill="1" applyBorder="1" applyAlignment="1" applyProtection="1">
      <alignment horizontal="center" vertical="center"/>
    </xf>
    <xf numFmtId="0" fontId="96" fillId="0" borderId="0" xfId="0" applyFont="1" applyFill="1" applyBorder="1" applyAlignment="1" applyProtection="1">
      <alignment horizontal="center"/>
    </xf>
    <xf numFmtId="0" fontId="128" fillId="0" borderId="0" xfId="0" applyFont="1" applyFill="1" applyBorder="1" applyProtection="1"/>
    <xf numFmtId="1" fontId="156" fillId="0" borderId="33" xfId="41" applyNumberFormat="1" applyFont="1" applyFill="1" applyBorder="1" applyAlignment="1" applyProtection="1">
      <alignment horizontal="center" vertical="center" wrapText="1"/>
    </xf>
    <xf numFmtId="3" fontId="96" fillId="0" borderId="0" xfId="0" applyNumberFormat="1" applyFont="1" applyFill="1" applyBorder="1" applyProtection="1"/>
    <xf numFmtId="227" fontId="96" fillId="0" borderId="0" xfId="0" applyNumberFormat="1" applyFont="1" applyFill="1" applyBorder="1" applyProtection="1"/>
    <xf numFmtId="0" fontId="203" fillId="0" borderId="0" xfId="0" applyFont="1" applyFill="1" applyBorder="1" applyAlignment="1" applyProtection="1">
      <alignment vertical="center"/>
    </xf>
    <xf numFmtId="1" fontId="243" fillId="0" borderId="90" xfId="41" applyNumberFormat="1" applyFont="1" applyFill="1" applyBorder="1" applyAlignment="1" applyProtection="1">
      <alignment horizontal="center" vertical="center" wrapText="1"/>
    </xf>
    <xf numFmtId="1" fontId="243" fillId="0" borderId="66" xfId="41" applyNumberFormat="1" applyFont="1" applyFill="1" applyBorder="1" applyAlignment="1" applyProtection="1">
      <alignment horizontal="center" vertical="center" wrapText="1"/>
    </xf>
    <xf numFmtId="1" fontId="243" fillId="0" borderId="89" xfId="41" applyNumberFormat="1" applyFont="1" applyFill="1" applyBorder="1" applyAlignment="1" applyProtection="1">
      <alignment horizontal="center" vertical="center" wrapText="1"/>
    </xf>
    <xf numFmtId="14" fontId="125" fillId="0" borderId="0" xfId="0" applyNumberFormat="1" applyFont="1" applyFill="1" applyBorder="1" applyAlignment="1" applyProtection="1">
      <alignment horizontal="center"/>
    </xf>
    <xf numFmtId="14" fontId="96" fillId="0" borderId="0" xfId="0" applyNumberFormat="1" applyFont="1" applyFill="1" applyBorder="1" applyAlignment="1" applyProtection="1"/>
    <xf numFmtId="0" fontId="282" fillId="0" borderId="0" xfId="0" applyFont="1" applyFill="1" applyBorder="1" applyAlignment="1" applyProtection="1">
      <alignment vertical="center"/>
    </xf>
    <xf numFmtId="220" fontId="128" fillId="0" borderId="0" xfId="0" applyNumberFormat="1" applyFont="1" applyFill="1" applyBorder="1" applyProtection="1"/>
    <xf numFmtId="0" fontId="153" fillId="0" borderId="62" xfId="0" applyFont="1" applyFill="1" applyBorder="1" applyAlignment="1" applyProtection="1">
      <alignment vertical="center" wrapText="1"/>
    </xf>
    <xf numFmtId="0" fontId="91" fillId="0" borderId="94" xfId="0" applyFont="1" applyFill="1" applyBorder="1" applyAlignment="1" applyProtection="1">
      <alignment vertical="center"/>
    </xf>
    <xf numFmtId="2" fontId="157" fillId="48" borderId="95" xfId="90" applyNumberFormat="1" applyFont="1" applyFill="1" applyBorder="1" applyAlignment="1" applyProtection="1">
      <alignment horizontal="right" vertical="center"/>
      <protection locked="0"/>
    </xf>
    <xf numFmtId="2" fontId="157" fillId="48" borderId="95" xfId="0" applyNumberFormat="1" applyFont="1" applyFill="1" applyBorder="1" applyAlignment="1" applyProtection="1">
      <alignment horizontal="right" vertical="center"/>
      <protection locked="0"/>
    </xf>
    <xf numFmtId="0" fontId="125" fillId="0" borderId="0" xfId="0" applyFont="1" applyFill="1" applyBorder="1" applyAlignment="1" applyProtection="1">
      <alignment horizontal="center"/>
    </xf>
    <xf numFmtId="0" fontId="203" fillId="0" borderId="0" xfId="0" applyFont="1" applyFill="1" applyBorder="1" applyProtection="1"/>
    <xf numFmtId="0" fontId="260" fillId="0" borderId="0" xfId="0" applyFont="1" applyFill="1" applyBorder="1" applyProtection="1"/>
    <xf numFmtId="2" fontId="128" fillId="0" borderId="0" xfId="0" applyNumberFormat="1" applyFont="1" applyFill="1" applyBorder="1" applyProtection="1"/>
    <xf numFmtId="0" fontId="153" fillId="0" borderId="96" xfId="0" applyFont="1" applyFill="1" applyBorder="1" applyAlignment="1" applyProtection="1">
      <alignment vertical="center" wrapText="1"/>
    </xf>
    <xf numFmtId="0" fontId="91" fillId="0" borderId="97" xfId="0" applyFont="1" applyFill="1" applyBorder="1" applyAlignment="1" applyProtection="1">
      <alignment vertical="center"/>
    </xf>
    <xf numFmtId="2" fontId="157" fillId="48" borderId="98" xfId="90" applyNumberFormat="1" applyFont="1" applyFill="1" applyBorder="1" applyAlignment="1" applyProtection="1">
      <alignment horizontal="right" vertical="center"/>
      <protection locked="0"/>
    </xf>
    <xf numFmtId="2" fontId="157" fillId="48" borderId="98" xfId="0" applyNumberFormat="1" applyFont="1" applyFill="1" applyBorder="1" applyAlignment="1" applyProtection="1">
      <alignment horizontal="right" vertical="center"/>
      <protection locked="0"/>
    </xf>
    <xf numFmtId="0" fontId="91" fillId="0" borderId="82" xfId="0" applyFont="1" applyFill="1" applyBorder="1" applyAlignment="1" applyProtection="1">
      <alignment horizontal="right" vertical="center"/>
    </xf>
    <xf numFmtId="0" fontId="91" fillId="0" borderId="91" xfId="0" applyFont="1" applyFill="1" applyBorder="1" applyAlignment="1" applyProtection="1">
      <alignment horizontal="center" vertical="center"/>
    </xf>
    <xf numFmtId="3" fontId="157" fillId="48" borderId="64" xfId="28" applyNumberFormat="1" applyFont="1" applyFill="1" applyBorder="1" applyAlignment="1" applyProtection="1">
      <alignment horizontal="right" vertical="center"/>
      <protection locked="0"/>
    </xf>
    <xf numFmtId="0" fontId="260" fillId="0" borderId="0" xfId="0" applyFont="1" applyFill="1" applyBorder="1" applyAlignment="1" applyProtection="1">
      <alignment horizontal="right"/>
    </xf>
    <xf numFmtId="3" fontId="128" fillId="0" borderId="0" xfId="0" applyNumberFormat="1" applyFont="1" applyFill="1" applyBorder="1" applyProtection="1"/>
    <xf numFmtId="0" fontId="91" fillId="0" borderId="40" xfId="0" applyFont="1" applyFill="1" applyBorder="1" applyAlignment="1" applyProtection="1">
      <alignment horizontal="right" vertical="center"/>
    </xf>
    <xf numFmtId="0" fontId="91" fillId="0" borderId="41" xfId="0" applyFont="1" applyFill="1" applyBorder="1" applyAlignment="1" applyProtection="1">
      <alignment horizontal="center" vertical="center"/>
    </xf>
    <xf numFmtId="0" fontId="153" fillId="0" borderId="55" xfId="0" applyFont="1" applyFill="1" applyBorder="1" applyAlignment="1" applyProtection="1">
      <alignment vertical="center" wrapText="1"/>
    </xf>
    <xf numFmtId="0" fontId="91" fillId="0" borderId="102" xfId="0" applyFont="1" applyFill="1" applyBorder="1" applyAlignment="1" applyProtection="1">
      <alignment vertical="center"/>
    </xf>
    <xf numFmtId="2" fontId="157" fillId="48" borderId="103" xfId="90" applyNumberFormat="1" applyFont="1" applyFill="1" applyBorder="1" applyAlignment="1" applyProtection="1">
      <alignment horizontal="right" vertical="center"/>
      <protection locked="0"/>
    </xf>
    <xf numFmtId="2" fontId="157" fillId="48" borderId="103" xfId="0" applyNumberFormat="1" applyFont="1" applyFill="1" applyBorder="1" applyAlignment="1" applyProtection="1">
      <alignment horizontal="right" vertical="center"/>
      <protection locked="0"/>
    </xf>
    <xf numFmtId="0" fontId="156" fillId="0" borderId="25" xfId="0" applyFont="1" applyFill="1" applyBorder="1" applyAlignment="1" applyProtection="1">
      <alignment vertical="center" wrapText="1"/>
    </xf>
    <xf numFmtId="0" fontId="91" fillId="0" borderId="67" xfId="0" applyFont="1" applyFill="1" applyBorder="1" applyAlignment="1" applyProtection="1">
      <alignment vertical="center"/>
    </xf>
    <xf numFmtId="2" fontId="157" fillId="47" borderId="70" xfId="90" applyNumberFormat="1" applyFont="1" applyFill="1" applyBorder="1" applyAlignment="1" applyProtection="1">
      <alignment horizontal="right" vertical="center"/>
      <protection locked="0"/>
    </xf>
    <xf numFmtId="2" fontId="157" fillId="47" borderId="70" xfId="0" applyNumberFormat="1" applyFont="1" applyFill="1" applyBorder="1" applyAlignment="1" applyProtection="1">
      <alignment horizontal="right" vertical="center"/>
      <protection locked="0"/>
    </xf>
    <xf numFmtId="0" fontId="91" fillId="0" borderId="16" xfId="0" applyFont="1" applyFill="1" applyBorder="1" applyAlignment="1" applyProtection="1">
      <alignment horizontal="right" vertical="center"/>
    </xf>
    <xf numFmtId="0" fontId="91" fillId="0" borderId="104" xfId="0" applyFont="1" applyFill="1" applyBorder="1" applyAlignment="1" applyProtection="1">
      <alignment horizontal="center" vertical="center"/>
    </xf>
    <xf numFmtId="3" fontId="157" fillId="25" borderId="64" xfId="28" applyNumberFormat="1" applyFont="1" applyFill="1" applyBorder="1" applyAlignment="1" applyProtection="1">
      <alignment horizontal="right" vertical="center"/>
      <protection locked="0"/>
    </xf>
    <xf numFmtId="0" fontId="156" fillId="0" borderId="0" xfId="0" applyFont="1" applyFill="1" applyBorder="1" applyAlignment="1" applyProtection="1">
      <alignment vertical="center"/>
    </xf>
    <xf numFmtId="0" fontId="283" fillId="0" borderId="0" xfId="0" applyFont="1" applyFill="1" applyAlignment="1" applyProtection="1">
      <alignment horizontal="left" vertical="top"/>
    </xf>
    <xf numFmtId="1" fontId="156" fillId="0" borderId="0" xfId="41" applyNumberFormat="1" applyFont="1" applyFill="1" applyBorder="1" applyAlignment="1" applyProtection="1">
      <alignment horizontal="center" wrapText="1"/>
    </xf>
    <xf numFmtId="1" fontId="155" fillId="0" borderId="69" xfId="41" applyNumberFormat="1" applyFont="1" applyFill="1" applyBorder="1" applyAlignment="1" applyProtection="1">
      <alignment horizontal="center" vertical="center" wrapText="1"/>
    </xf>
    <xf numFmtId="1" fontId="155" fillId="0" borderId="70" xfId="41" applyNumberFormat="1" applyFont="1" applyFill="1" applyBorder="1" applyAlignment="1" applyProtection="1">
      <alignment horizontal="center" vertical="center" wrapText="1"/>
    </xf>
    <xf numFmtId="1" fontId="156" fillId="0" borderId="92" xfId="41" applyNumberFormat="1" applyFont="1" applyFill="1" applyBorder="1" applyAlignment="1" applyProtection="1">
      <alignment horizontal="center" vertical="center" wrapText="1"/>
    </xf>
    <xf numFmtId="0" fontId="96" fillId="0" borderId="0" xfId="0" applyFont="1" applyFill="1" applyBorder="1" applyAlignment="1" applyProtection="1">
      <alignment wrapText="1"/>
    </xf>
    <xf numFmtId="1" fontId="243" fillId="0" borderId="40" xfId="41" applyNumberFormat="1" applyFont="1" applyFill="1" applyBorder="1" applyAlignment="1" applyProtection="1">
      <alignment horizontal="center" vertical="center" wrapText="1"/>
    </xf>
    <xf numFmtId="1" fontId="243" fillId="0" borderId="80" xfId="41" applyNumberFormat="1" applyFont="1" applyFill="1" applyBorder="1" applyAlignment="1" applyProtection="1">
      <alignment horizontal="center" vertical="center" wrapText="1"/>
    </xf>
    <xf numFmtId="1" fontId="243" fillId="0" borderId="76" xfId="41" applyNumberFormat="1" applyFont="1" applyFill="1" applyBorder="1" applyAlignment="1" applyProtection="1">
      <alignment horizontal="center" vertical="center" wrapText="1"/>
    </xf>
    <xf numFmtId="1" fontId="243" fillId="0" borderId="91" xfId="41" applyNumberFormat="1" applyFont="1" applyFill="1" applyBorder="1" applyAlignment="1" applyProtection="1">
      <alignment horizontal="center" vertical="center" wrapText="1"/>
    </xf>
    <xf numFmtId="0" fontId="153" fillId="0" borderId="69" xfId="0" applyFont="1" applyFill="1" applyBorder="1" applyAlignment="1" applyProtection="1">
      <alignment horizontal="left" wrapText="1"/>
    </xf>
    <xf numFmtId="198" fontId="152" fillId="0" borderId="92" xfId="28" applyNumberFormat="1" applyFont="1" applyFill="1" applyBorder="1" applyAlignment="1" applyProtection="1">
      <alignment horizontal="center" vertical="center"/>
    </xf>
    <xf numFmtId="3" fontId="157" fillId="47" borderId="25" xfId="28" applyNumberFormat="1" applyFont="1" applyFill="1" applyBorder="1" applyAlignment="1" applyProtection="1">
      <alignment horizontal="right" vertical="center"/>
      <protection locked="0"/>
    </xf>
    <xf numFmtId="3" fontId="157" fillId="48" borderId="70" xfId="28" applyNumberFormat="1" applyFont="1" applyFill="1" applyBorder="1" applyAlignment="1" applyProtection="1">
      <alignment horizontal="right" vertical="center"/>
      <protection locked="0"/>
    </xf>
    <xf numFmtId="0" fontId="189" fillId="0" borderId="0" xfId="0" applyFont="1" applyAlignment="1" applyProtection="1">
      <alignment horizontal="center"/>
    </xf>
    <xf numFmtId="0" fontId="187" fillId="0" borderId="37" xfId="0" applyFont="1" applyFill="1" applyBorder="1" applyAlignment="1" applyProtection="1">
      <alignment horizontal="left" wrapText="1"/>
    </xf>
    <xf numFmtId="198" fontId="152" fillId="0" borderId="41" xfId="28" applyNumberFormat="1" applyFont="1" applyFill="1" applyBorder="1" applyAlignment="1" applyProtection="1">
      <alignment horizontal="center" vertical="center"/>
    </xf>
    <xf numFmtId="3" fontId="157" fillId="47" borderId="42" xfId="28" applyNumberFormat="1" applyFont="1" applyFill="1" applyBorder="1" applyAlignment="1" applyProtection="1">
      <alignment horizontal="right" vertical="center"/>
      <protection locked="0"/>
    </xf>
    <xf numFmtId="0" fontId="153" fillId="0" borderId="53" xfId="0" applyFont="1" applyFill="1" applyBorder="1" applyAlignment="1" applyProtection="1">
      <alignment horizontal="left" vertical="center" wrapText="1"/>
    </xf>
    <xf numFmtId="198" fontId="152" fillId="0" borderId="59" xfId="28" applyNumberFormat="1" applyFont="1" applyFill="1" applyBorder="1" applyAlignment="1" applyProtection="1">
      <alignment horizontal="center" vertical="center"/>
    </xf>
    <xf numFmtId="3" fontId="157" fillId="47" borderId="90" xfId="28" applyNumberFormat="1" applyFont="1" applyFill="1" applyBorder="1" applyAlignment="1" applyProtection="1">
      <alignment horizontal="right" vertical="center"/>
      <protection locked="0"/>
    </xf>
    <xf numFmtId="3" fontId="157" fillId="48" borderId="33" xfId="28" applyNumberFormat="1" applyFont="1" applyFill="1" applyBorder="1" applyAlignment="1" applyProtection="1">
      <alignment horizontal="right" vertical="center"/>
      <protection locked="0"/>
    </xf>
    <xf numFmtId="0" fontId="153" fillId="0" borderId="69" xfId="0" applyFont="1" applyFill="1" applyBorder="1" applyAlignment="1" applyProtection="1">
      <alignment horizontal="left" vertical="center" wrapText="1"/>
    </xf>
    <xf numFmtId="0" fontId="187" fillId="0" borderId="78" xfId="0" applyFont="1" applyFill="1" applyBorder="1" applyAlignment="1" applyProtection="1">
      <alignment horizontal="left" vertical="center" wrapText="1"/>
    </xf>
    <xf numFmtId="198" fontId="152" fillId="0" borderId="105" xfId="28" applyNumberFormat="1" applyFont="1" applyFill="1" applyBorder="1" applyAlignment="1" applyProtection="1">
      <alignment horizontal="center" vertical="center"/>
    </xf>
    <xf numFmtId="3" fontId="157" fillId="47" borderId="49" xfId="28" applyNumberFormat="1" applyFont="1" applyFill="1" applyBorder="1" applyAlignment="1" applyProtection="1">
      <alignment horizontal="right" vertical="center"/>
      <protection locked="0"/>
    </xf>
    <xf numFmtId="3" fontId="157" fillId="48" borderId="75" xfId="28" applyNumberFormat="1" applyFont="1" applyFill="1" applyBorder="1" applyAlignment="1" applyProtection="1">
      <alignment horizontal="right" vertical="center"/>
      <protection locked="0"/>
    </xf>
    <xf numFmtId="0" fontId="187" fillId="0" borderId="80" xfId="0" applyFont="1" applyFill="1" applyBorder="1" applyAlignment="1" applyProtection="1">
      <alignment horizontal="left" vertical="center" wrapText="1"/>
    </xf>
    <xf numFmtId="198" fontId="152" fillId="0" borderId="91" xfId="28" applyNumberFormat="1" applyFont="1" applyFill="1" applyBorder="1" applyAlignment="1" applyProtection="1">
      <alignment horizontal="center" vertical="center"/>
    </xf>
    <xf numFmtId="3" fontId="157" fillId="47" borderId="50" xfId="28" applyNumberFormat="1" applyFont="1" applyFill="1" applyBorder="1" applyAlignment="1" applyProtection="1">
      <alignment horizontal="right" vertical="center"/>
      <protection locked="0"/>
    </xf>
    <xf numFmtId="0" fontId="153" fillId="0" borderId="37" xfId="0" applyFont="1" applyFill="1" applyBorder="1" applyAlignment="1" applyProtection="1">
      <alignment horizontal="left" vertical="center" wrapText="1"/>
    </xf>
    <xf numFmtId="198" fontId="152" fillId="0" borderId="61" xfId="28" applyNumberFormat="1" applyFont="1" applyFill="1" applyBorder="1" applyAlignment="1" applyProtection="1">
      <alignment horizontal="center" vertical="center"/>
    </xf>
    <xf numFmtId="0" fontId="153" fillId="0" borderId="35" xfId="0" applyFont="1" applyFill="1" applyBorder="1" applyAlignment="1" applyProtection="1">
      <alignment horizontal="left" vertical="center" wrapText="1"/>
    </xf>
    <xf numFmtId="3" fontId="157" fillId="47" borderId="30" xfId="28" applyNumberFormat="1" applyFont="1" applyFill="1" applyBorder="1" applyAlignment="1" applyProtection="1">
      <alignment horizontal="right" vertical="center"/>
      <protection locked="0"/>
    </xf>
    <xf numFmtId="0" fontId="187" fillId="0" borderId="39" xfId="0" applyFont="1" applyFill="1" applyBorder="1" applyAlignment="1" applyProtection="1">
      <alignment horizontal="left" vertical="center" wrapText="1"/>
    </xf>
    <xf numFmtId="3" fontId="157" fillId="48" borderId="76" xfId="28" applyNumberFormat="1" applyFont="1" applyFill="1" applyBorder="1" applyAlignment="1" applyProtection="1">
      <alignment horizontal="right" vertical="center"/>
      <protection locked="0"/>
    </xf>
    <xf numFmtId="0" fontId="153" fillId="0" borderId="35" xfId="0" applyFont="1" applyFill="1" applyBorder="1" applyAlignment="1" applyProtection="1">
      <alignment horizontal="left" wrapText="1"/>
    </xf>
    <xf numFmtId="3" fontId="157" fillId="48" borderId="71" xfId="28" applyNumberFormat="1" applyFont="1" applyFill="1" applyBorder="1" applyAlignment="1" applyProtection="1">
      <alignment horizontal="right" vertical="center"/>
      <protection locked="0"/>
    </xf>
    <xf numFmtId="0" fontId="252" fillId="0" borderId="35" xfId="0" applyFont="1" applyFill="1" applyBorder="1" applyAlignment="1" applyProtection="1">
      <alignment horizontal="left" wrapText="1"/>
    </xf>
    <xf numFmtId="3" fontId="152" fillId="27" borderId="25" xfId="28" applyNumberFormat="1" applyFont="1" applyFill="1" applyBorder="1" applyAlignment="1" applyProtection="1">
      <alignment horizontal="right" vertical="center"/>
    </xf>
    <xf numFmtId="3" fontId="152" fillId="30" borderId="33" xfId="28" applyNumberFormat="1" applyFont="1" applyFill="1" applyBorder="1" applyAlignment="1" applyProtection="1">
      <alignment horizontal="right" vertical="center"/>
    </xf>
    <xf numFmtId="0" fontId="153" fillId="0" borderId="53" xfId="0" applyFont="1" applyFill="1" applyBorder="1" applyAlignment="1" applyProtection="1">
      <alignment horizontal="left" wrapText="1"/>
    </xf>
    <xf numFmtId="0" fontId="153" fillId="0" borderId="39" xfId="0" applyFont="1" applyFill="1" applyBorder="1" applyAlignment="1" applyProtection="1">
      <alignment horizontal="left" wrapText="1"/>
    </xf>
    <xf numFmtId="0" fontId="86" fillId="0" borderId="0" xfId="0" applyFont="1" applyProtection="1"/>
    <xf numFmtId="0" fontId="125" fillId="0" borderId="0" xfId="0" applyFont="1" applyFill="1" applyBorder="1" applyAlignment="1" applyProtection="1">
      <alignment horizontal="center" vertical="center"/>
    </xf>
    <xf numFmtId="0" fontId="86" fillId="0" borderId="0" xfId="0" applyFont="1" applyFill="1" applyProtection="1"/>
    <xf numFmtId="0" fontId="123" fillId="0" borderId="0" xfId="0" applyFont="1" applyProtection="1"/>
    <xf numFmtId="0" fontId="202" fillId="0" borderId="0" xfId="0" applyFont="1" applyFill="1" applyBorder="1" applyAlignment="1" applyProtection="1">
      <alignment horizontal="center"/>
    </xf>
    <xf numFmtId="0" fontId="125" fillId="0" borderId="0" xfId="0" applyFont="1" applyFill="1" applyBorder="1" applyAlignment="1" applyProtection="1">
      <alignment vertical="center"/>
    </xf>
    <xf numFmtId="0" fontId="150" fillId="0" borderId="0" xfId="0" applyFont="1" applyProtection="1"/>
    <xf numFmtId="0" fontId="123" fillId="0" borderId="0" xfId="0" applyFont="1" applyFill="1" applyProtection="1"/>
    <xf numFmtId="0" fontId="182" fillId="0" borderId="0" xfId="0" applyFont="1" applyProtection="1"/>
    <xf numFmtId="0" fontId="125" fillId="0" borderId="40" xfId="0" applyFont="1" applyFill="1" applyBorder="1" applyAlignment="1" applyProtection="1">
      <alignment horizontal="center"/>
    </xf>
    <xf numFmtId="181" fontId="96" fillId="0" borderId="0" xfId="0" applyNumberFormat="1" applyFont="1" applyFill="1" applyBorder="1" applyAlignment="1" applyProtection="1">
      <alignment vertical="center" shrinkToFit="1"/>
    </xf>
    <xf numFmtId="0" fontId="268" fillId="0" borderId="0" xfId="0" applyFont="1" applyProtection="1"/>
    <xf numFmtId="0" fontId="182" fillId="0" borderId="0" xfId="0" applyFont="1" applyFill="1" applyProtection="1"/>
    <xf numFmtId="0" fontId="96" fillId="0" borderId="63" xfId="0" applyFont="1" applyBorder="1" applyAlignment="1" applyProtection="1">
      <alignment horizontal="center"/>
    </xf>
    <xf numFmtId="0" fontId="157" fillId="0" borderId="0" xfId="0" applyFont="1" applyProtection="1"/>
    <xf numFmtId="0" fontId="96" fillId="0" borderId="64" xfId="0" applyFont="1" applyBorder="1" applyAlignment="1" applyProtection="1">
      <alignment horizontal="center"/>
    </xf>
    <xf numFmtId="0" fontId="96" fillId="0" borderId="53" xfId="0" applyFont="1" applyBorder="1" applyProtection="1"/>
    <xf numFmtId="0" fontId="96" fillId="0" borderId="59" xfId="0" applyFont="1" applyBorder="1" applyProtection="1"/>
    <xf numFmtId="0" fontId="182" fillId="47" borderId="33" xfId="0" applyFont="1" applyFill="1" applyBorder="1" applyAlignment="1" applyProtection="1">
      <alignment vertical="center"/>
      <protection locked="0"/>
    </xf>
    <xf numFmtId="0" fontId="96" fillId="0" borderId="36" xfId="0" applyFont="1" applyBorder="1" applyAlignment="1" applyProtection="1">
      <alignment horizontal="center"/>
    </xf>
    <xf numFmtId="0" fontId="96" fillId="0" borderId="52" xfId="0" applyFont="1" applyBorder="1" applyAlignment="1" applyProtection="1">
      <alignment horizontal="center"/>
    </xf>
    <xf numFmtId="0" fontId="96" fillId="0" borderId="33" xfId="0" applyFont="1" applyBorder="1" applyProtection="1"/>
    <xf numFmtId="186" fontId="96" fillId="32" borderId="0" xfId="0" applyNumberFormat="1" applyFont="1" applyFill="1" applyBorder="1" applyAlignment="1" applyProtection="1">
      <alignment vertical="center"/>
    </xf>
    <xf numFmtId="216" fontId="182" fillId="40" borderId="49" xfId="0" applyNumberFormat="1" applyFont="1" applyFill="1" applyBorder="1" applyAlignment="1" applyProtection="1">
      <alignment horizontal="right"/>
    </xf>
    <xf numFmtId="186" fontId="96" fillId="32" borderId="93" xfId="0" applyNumberFormat="1" applyFont="1" applyFill="1" applyBorder="1" applyAlignment="1" applyProtection="1">
      <alignment vertical="center"/>
    </xf>
    <xf numFmtId="179" fontId="125" fillId="32" borderId="60" xfId="0" applyNumberFormat="1" applyFont="1" applyFill="1" applyBorder="1" applyAlignment="1" applyProtection="1">
      <alignment vertical="center"/>
    </xf>
    <xf numFmtId="179" fontId="125" fillId="32" borderId="32" xfId="0" applyNumberFormat="1" applyFont="1" applyFill="1" applyBorder="1" applyAlignment="1" applyProtection="1">
      <alignment vertical="center"/>
    </xf>
    <xf numFmtId="14" fontId="96" fillId="0" borderId="35" xfId="0" applyNumberFormat="1" applyFont="1" applyBorder="1" applyProtection="1"/>
    <xf numFmtId="0" fontId="125" fillId="0" borderId="61" xfId="0" applyFont="1" applyBorder="1" applyAlignment="1" applyProtection="1">
      <alignment horizontal="center" vertical="center" wrapText="1"/>
    </xf>
    <xf numFmtId="14" fontId="139" fillId="0" borderId="60" xfId="0" applyNumberFormat="1" applyFont="1" applyBorder="1" applyAlignment="1" applyProtection="1">
      <alignment horizontal="center" vertical="center" wrapText="1"/>
    </xf>
    <xf numFmtId="0" fontId="124" fillId="0" borderId="78" xfId="0" applyFont="1" applyBorder="1" applyAlignment="1" applyProtection="1">
      <alignment vertical="center" wrapText="1"/>
    </xf>
    <xf numFmtId="179" fontId="96" fillId="32" borderId="29" xfId="0" applyNumberFormat="1" applyFont="1" applyFill="1" applyBorder="1" applyAlignment="1" applyProtection="1">
      <alignment vertical="center"/>
    </xf>
    <xf numFmtId="0" fontId="124" fillId="0" borderId="80" xfId="0" applyFont="1" applyBorder="1" applyAlignment="1" applyProtection="1">
      <alignment vertical="center" wrapText="1"/>
    </xf>
    <xf numFmtId="179" fontId="96" fillId="32" borderId="32" xfId="0" applyNumberFormat="1" applyFont="1" applyFill="1" applyBorder="1" applyAlignment="1" applyProtection="1">
      <alignment vertical="center"/>
    </xf>
    <xf numFmtId="179" fontId="96" fillId="32" borderId="60" xfId="0" applyNumberFormat="1" applyFont="1" applyFill="1" applyBorder="1" applyAlignment="1" applyProtection="1">
      <alignment vertical="center"/>
    </xf>
    <xf numFmtId="0" fontId="205" fillId="0" borderId="0" xfId="0" applyFont="1" applyBorder="1" applyAlignment="1" applyProtection="1">
      <alignment horizontal="centerContinuous"/>
    </xf>
    <xf numFmtId="0" fontId="205" fillId="0" borderId="38" xfId="0" applyFont="1" applyBorder="1" applyAlignment="1" applyProtection="1">
      <alignment horizontal="centerContinuous"/>
    </xf>
    <xf numFmtId="0" fontId="96" fillId="0" borderId="49" xfId="0" applyFont="1" applyBorder="1" applyAlignment="1" applyProtection="1">
      <alignment horizontal="center" vertical="center"/>
    </xf>
    <xf numFmtId="0" fontId="96" fillId="0" borderId="38" xfId="0" applyFont="1" applyBorder="1" applyAlignment="1" applyProtection="1">
      <alignment horizontal="center" vertical="center"/>
    </xf>
    <xf numFmtId="179" fontId="245" fillId="0" borderId="27" xfId="0" applyNumberFormat="1" applyFont="1" applyFill="1" applyBorder="1" applyAlignment="1" applyProtection="1">
      <alignment horizontal="right" vertical="center"/>
    </xf>
    <xf numFmtId="0" fontId="125" fillId="0" borderId="23" xfId="0" applyFont="1" applyBorder="1" applyAlignment="1" applyProtection="1">
      <alignment horizontal="center" vertical="center" wrapText="1"/>
    </xf>
    <xf numFmtId="0" fontId="125" fillId="0" borderId="52" xfId="0" applyFont="1" applyBorder="1" applyAlignment="1" applyProtection="1">
      <alignment horizontal="center" vertical="center" wrapText="1"/>
    </xf>
    <xf numFmtId="0" fontId="125" fillId="0" borderId="42" xfId="0" applyFont="1" applyBorder="1" applyAlignment="1" applyProtection="1">
      <alignment horizontal="center" vertical="center" wrapText="1"/>
    </xf>
    <xf numFmtId="14" fontId="139" fillId="0" borderId="42" xfId="0" applyNumberFormat="1" applyFont="1" applyBorder="1" applyAlignment="1" applyProtection="1">
      <alignment horizontal="center" vertical="center" wrapText="1"/>
    </xf>
    <xf numFmtId="179" fontId="96" fillId="32" borderId="49" xfId="0" applyNumberFormat="1" applyFont="1" applyFill="1" applyBorder="1" applyAlignment="1" applyProtection="1">
      <alignment vertical="center"/>
    </xf>
    <xf numFmtId="179" fontId="96" fillId="32" borderId="50" xfId="0" applyNumberFormat="1" applyFont="1" applyFill="1" applyBorder="1" applyAlignment="1" applyProtection="1">
      <alignment vertical="center"/>
    </xf>
    <xf numFmtId="179" fontId="96" fillId="32" borderId="42" xfId="0" applyNumberFormat="1" applyFont="1" applyFill="1" applyBorder="1" applyAlignment="1" applyProtection="1">
      <alignment vertical="center"/>
    </xf>
    <xf numFmtId="0" fontId="96" fillId="0" borderId="0" xfId="0" applyFont="1" applyBorder="1" applyAlignment="1" applyProtection="1">
      <alignment wrapText="1"/>
    </xf>
    <xf numFmtId="4" fontId="96" fillId="0" borderId="0" xfId="0" applyNumberFormat="1" applyFont="1" applyBorder="1" applyAlignment="1" applyProtection="1">
      <alignment vertical="center"/>
    </xf>
    <xf numFmtId="4" fontId="96" fillId="0" borderId="38" xfId="0" applyNumberFormat="1" applyFont="1" applyBorder="1" applyAlignment="1" applyProtection="1">
      <alignment vertical="center"/>
    </xf>
    <xf numFmtId="0" fontId="125" fillId="0" borderId="93" xfId="0" applyFont="1" applyBorder="1" applyAlignment="1" applyProtection="1">
      <alignment horizontal="center" vertical="center" wrapText="1"/>
    </xf>
    <xf numFmtId="0" fontId="125" fillId="0" borderId="60" xfId="0" applyFont="1" applyBorder="1" applyAlignment="1" applyProtection="1">
      <alignment horizontal="center" vertical="center" wrapText="1"/>
    </xf>
    <xf numFmtId="179" fontId="96" fillId="26" borderId="49" xfId="0" applyNumberFormat="1" applyFont="1" applyFill="1" applyBorder="1" applyAlignment="1" applyProtection="1">
      <alignment vertical="center"/>
    </xf>
    <xf numFmtId="179" fontId="96" fillId="26" borderId="50" xfId="0" applyNumberFormat="1" applyFont="1" applyFill="1" applyBorder="1" applyAlignment="1" applyProtection="1">
      <alignment vertical="center"/>
    </xf>
    <xf numFmtId="179" fontId="96" fillId="26" borderId="42" xfId="0" applyNumberFormat="1" applyFont="1" applyFill="1" applyBorder="1" applyAlignment="1" applyProtection="1">
      <alignment vertical="center"/>
    </xf>
    <xf numFmtId="4" fontId="96" fillId="0" borderId="83" xfId="0" applyNumberFormat="1" applyFont="1" applyBorder="1" applyAlignment="1" applyProtection="1">
      <alignment horizontal="center" vertical="center"/>
    </xf>
    <xf numFmtId="0" fontId="125" fillId="0" borderId="117" xfId="0" applyFont="1" applyBorder="1" applyAlignment="1" applyProtection="1">
      <alignment horizontal="center" vertical="center"/>
    </xf>
    <xf numFmtId="4" fontId="96" fillId="0" borderId="83" xfId="0" applyNumberFormat="1" applyFont="1" applyBorder="1" applyAlignment="1" applyProtection="1">
      <alignment vertical="center"/>
    </xf>
    <xf numFmtId="167" fontId="88" fillId="0" borderId="40" xfId="0" applyNumberFormat="1" applyFont="1" applyFill="1" applyBorder="1" applyAlignment="1" applyProtection="1">
      <alignment horizontal="right" vertical="center"/>
    </xf>
    <xf numFmtId="4" fontId="125" fillId="0" borderId="30" xfId="0" applyNumberFormat="1" applyFont="1" applyBorder="1" applyAlignment="1" applyProtection="1">
      <alignment horizontal="center" vertical="center"/>
    </xf>
    <xf numFmtId="0" fontId="124" fillId="0" borderId="47" xfId="0" applyFont="1" applyBorder="1" applyAlignment="1" applyProtection="1">
      <alignment vertical="center" wrapText="1"/>
    </xf>
    <xf numFmtId="14" fontId="139" fillId="26" borderId="50" xfId="0" applyNumberFormat="1" applyFont="1" applyFill="1" applyBorder="1" applyAlignment="1" applyProtection="1">
      <alignment horizontal="center" vertical="center" wrapText="1"/>
    </xf>
    <xf numFmtId="14" fontId="139" fillId="32" borderId="32" xfId="0" applyNumberFormat="1" applyFont="1" applyFill="1" applyBorder="1" applyAlignment="1" applyProtection="1">
      <alignment horizontal="center" vertical="center" wrapText="1"/>
    </xf>
    <xf numFmtId="14" fontId="139" fillId="32" borderId="50" xfId="0" applyNumberFormat="1" applyFont="1" applyFill="1" applyBorder="1" applyAlignment="1" applyProtection="1">
      <alignment horizontal="center" vertical="center" wrapText="1"/>
    </xf>
    <xf numFmtId="14" fontId="139" fillId="32" borderId="30" xfId="0" applyNumberFormat="1" applyFont="1" applyFill="1" applyBorder="1" applyAlignment="1" applyProtection="1">
      <alignment horizontal="center" vertical="center" wrapText="1"/>
    </xf>
    <xf numFmtId="14" fontId="139" fillId="26" borderId="91" xfId="0" applyNumberFormat="1" applyFont="1" applyFill="1" applyBorder="1" applyAlignment="1" applyProtection="1">
      <alignment horizontal="center" vertical="center"/>
    </xf>
    <xf numFmtId="0" fontId="96" fillId="0" borderId="39" xfId="0" applyFont="1" applyBorder="1" applyAlignment="1" applyProtection="1">
      <alignment vertical="center" wrapText="1"/>
    </xf>
    <xf numFmtId="179" fontId="96" fillId="26" borderId="30" xfId="0" applyNumberFormat="1" applyFont="1" applyFill="1" applyBorder="1" applyAlignment="1" applyProtection="1">
      <alignment vertical="center"/>
    </xf>
    <xf numFmtId="179" fontId="96" fillId="32" borderId="83" xfId="0" applyNumberFormat="1" applyFont="1" applyFill="1" applyBorder="1" applyAlignment="1" applyProtection="1">
      <alignment vertical="center"/>
    </xf>
    <xf numFmtId="179" fontId="96" fillId="32" borderId="30" xfId="0" applyNumberFormat="1" applyFont="1" applyFill="1" applyBorder="1" applyAlignment="1" applyProtection="1">
      <alignment vertical="center"/>
    </xf>
    <xf numFmtId="179" fontId="125" fillId="32" borderId="83" xfId="0" applyNumberFormat="1" applyFont="1" applyFill="1" applyBorder="1" applyAlignment="1" applyProtection="1">
      <alignment vertical="center"/>
    </xf>
    <xf numFmtId="0" fontId="96" fillId="0" borderId="78" xfId="0" applyFont="1" applyBorder="1" applyAlignment="1" applyProtection="1">
      <alignment vertical="top" wrapText="1"/>
    </xf>
    <xf numFmtId="0" fontId="96" fillId="0" borderId="39" xfId="0" applyFont="1" applyBorder="1" applyAlignment="1" applyProtection="1">
      <alignment vertical="top" shrinkToFit="1"/>
    </xf>
    <xf numFmtId="0" fontId="125" fillId="0" borderId="86" xfId="0" applyFont="1" applyBorder="1" applyAlignment="1" applyProtection="1">
      <alignment vertical="center"/>
    </xf>
    <xf numFmtId="6" fontId="152" fillId="29" borderId="74" xfId="0" applyNumberFormat="1" applyFont="1" applyFill="1" applyBorder="1" applyAlignment="1" applyProtection="1">
      <alignment vertical="center"/>
    </xf>
    <xf numFmtId="40" fontId="152" fillId="29" borderId="74" xfId="0" applyNumberFormat="1" applyFont="1" applyFill="1" applyBorder="1" applyAlignment="1" applyProtection="1">
      <alignment vertical="center"/>
    </xf>
    <xf numFmtId="40" fontId="91" fillId="26" borderId="76" xfId="0" applyNumberFormat="1" applyFont="1" applyFill="1" applyBorder="1" applyAlignment="1" applyProtection="1">
      <alignment horizontal="center" vertical="center"/>
    </xf>
    <xf numFmtId="6" fontId="152" fillId="26" borderId="74" xfId="0" applyNumberFormat="1" applyFont="1" applyFill="1" applyBorder="1" applyAlignment="1" applyProtection="1">
      <alignment vertical="center"/>
    </xf>
    <xf numFmtId="6" fontId="152" fillId="26" borderId="73" xfId="0" applyNumberFormat="1" applyFont="1" applyFill="1" applyBorder="1" applyAlignment="1" applyProtection="1">
      <alignment vertical="center"/>
    </xf>
    <xf numFmtId="6" fontId="152" fillId="26" borderId="75" xfId="0" applyNumberFormat="1" applyFont="1" applyFill="1" applyBorder="1" applyAlignment="1" applyProtection="1">
      <alignment vertical="center"/>
    </xf>
    <xf numFmtId="10" fontId="152" fillId="32" borderId="71" xfId="0" applyNumberFormat="1" applyFont="1" applyFill="1" applyBorder="1" applyAlignment="1" applyProtection="1">
      <alignment horizontal="center" vertical="center"/>
    </xf>
    <xf numFmtId="2" fontId="152" fillId="32" borderId="33" xfId="0" applyNumberFormat="1" applyFont="1" applyFill="1" applyBorder="1" applyAlignment="1" applyProtection="1">
      <alignment horizontal="center" vertical="center"/>
    </xf>
    <xf numFmtId="0" fontId="153" fillId="26" borderId="14" xfId="0" applyFont="1" applyFill="1" applyBorder="1" applyAlignment="1" applyProtection="1">
      <alignment vertical="center" shrinkToFit="1"/>
    </xf>
    <xf numFmtId="191" fontId="152" fillId="26" borderId="13" xfId="0" applyNumberFormat="1" applyFont="1" applyFill="1" applyBorder="1" applyAlignment="1" applyProtection="1">
      <alignment horizontal="center" vertical="center"/>
    </xf>
    <xf numFmtId="10" fontId="96" fillId="0" borderId="64" xfId="0" applyNumberFormat="1" applyFont="1" applyBorder="1" applyProtection="1"/>
    <xf numFmtId="10" fontId="96" fillId="0" borderId="33" xfId="0" applyNumberFormat="1" applyFont="1" applyBorder="1" applyProtection="1"/>
    <xf numFmtId="10" fontId="153" fillId="35" borderId="33" xfId="41" applyNumberFormat="1" applyFont="1" applyFill="1" applyBorder="1" applyAlignment="1" applyProtection="1">
      <alignment horizontal="center" vertical="center"/>
      <protection locked="0"/>
    </xf>
    <xf numFmtId="10" fontId="153" fillId="35" borderId="33" xfId="0" applyNumberFormat="1" applyFont="1" applyFill="1" applyBorder="1" applyAlignment="1" applyProtection="1">
      <alignment horizontal="center" vertical="center"/>
      <protection locked="0"/>
    </xf>
    <xf numFmtId="217" fontId="285" fillId="0" borderId="92" xfId="0" applyNumberFormat="1" applyFont="1" applyBorder="1" applyAlignment="1" applyProtection="1">
      <alignment horizontal="center" vertical="center" wrapText="1"/>
    </xf>
    <xf numFmtId="168" fontId="286" fillId="26" borderId="49" xfId="55" applyFont="1" applyFill="1" applyBorder="1" applyAlignment="1" applyProtection="1">
      <alignment horizontal="center" vertical="center"/>
    </xf>
    <xf numFmtId="10" fontId="287" fillId="34" borderId="130" xfId="0" applyNumberFormat="1" applyFont="1" applyFill="1" applyBorder="1" applyAlignment="1" applyProtection="1">
      <alignment horizontal="center" vertical="center" wrapText="1"/>
    </xf>
    <xf numFmtId="8" fontId="152" fillId="26" borderId="75" xfId="0" applyNumberFormat="1" applyFont="1" applyFill="1" applyBorder="1" applyAlignment="1" applyProtection="1">
      <alignment vertical="center"/>
    </xf>
    <xf numFmtId="8" fontId="152" fillId="35" borderId="13" xfId="0" applyNumberFormat="1" applyFont="1" applyFill="1" applyBorder="1" applyAlignment="1" applyProtection="1">
      <alignment horizontal="center"/>
      <protection locked="0"/>
    </xf>
    <xf numFmtId="8" fontId="152" fillId="0" borderId="13" xfId="0" applyNumberFormat="1" applyFont="1" applyFill="1" applyBorder="1" applyAlignment="1" applyProtection="1">
      <alignment horizontal="center"/>
      <protection locked="0"/>
    </xf>
    <xf numFmtId="8" fontId="152" fillId="26" borderId="74" xfId="0" applyNumberFormat="1" applyFont="1" applyFill="1" applyBorder="1" applyAlignment="1" applyProtection="1">
      <alignment vertical="center"/>
    </xf>
    <xf numFmtId="8" fontId="152" fillId="35" borderId="34" xfId="0" applyNumberFormat="1" applyFont="1" applyFill="1" applyBorder="1" applyAlignment="1" applyProtection="1">
      <alignment horizontal="center"/>
      <protection locked="0"/>
    </xf>
    <xf numFmtId="0" fontId="192" fillId="32" borderId="13" xfId="0" applyFont="1" applyFill="1" applyBorder="1" applyAlignment="1" applyProtection="1">
      <alignment horizontal="center" vertical="center" shrinkToFit="1"/>
      <protection locked="0"/>
    </xf>
    <xf numFmtId="0" fontId="67" fillId="26" borderId="0" xfId="58" applyFont="1" applyFill="1" applyAlignment="1">
      <alignment vertical="center"/>
    </xf>
    <xf numFmtId="0" fontId="204" fillId="0" borderId="0" xfId="0" applyFont="1" applyFill="1" applyAlignment="1" applyProtection="1">
      <alignment vertical="center"/>
    </xf>
    <xf numFmtId="0" fontId="234" fillId="0" borderId="115" xfId="0" applyFont="1" applyFill="1" applyBorder="1" applyAlignment="1" applyProtection="1">
      <alignment vertical="center"/>
    </xf>
    <xf numFmtId="252" fontId="108" fillId="35" borderId="39" xfId="58" applyNumberFormat="1" applyFont="1" applyFill="1" applyBorder="1" applyAlignment="1">
      <alignment horizontal="left" vertical="center"/>
    </xf>
    <xf numFmtId="0" fontId="67" fillId="35" borderId="40" xfId="58" applyFont="1" applyFill="1" applyBorder="1" applyAlignment="1">
      <alignment vertical="center"/>
    </xf>
    <xf numFmtId="0" fontId="67" fillId="35" borderId="41" xfId="58" applyFont="1" applyFill="1" applyBorder="1" applyAlignment="1">
      <alignment vertical="center"/>
    </xf>
    <xf numFmtId="217" fontId="99" fillId="35" borderId="41" xfId="58" applyNumberFormat="1" applyFont="1" applyFill="1" applyBorder="1" applyAlignment="1">
      <alignment vertical="center"/>
    </xf>
    <xf numFmtId="252" fontId="289" fillId="37" borderId="53" xfId="58" applyNumberFormat="1" applyFont="1" applyFill="1" applyBorder="1" applyAlignment="1">
      <alignment horizontal="left" vertical="center"/>
    </xf>
    <xf numFmtId="44" fontId="289" fillId="37" borderId="54" xfId="62" applyFont="1" applyFill="1" applyBorder="1" applyAlignment="1">
      <alignment horizontal="left" vertical="center"/>
    </xf>
    <xf numFmtId="0" fontId="67" fillId="37" borderId="59" xfId="58" applyFont="1" applyFill="1" applyBorder="1" applyAlignment="1">
      <alignment vertical="center"/>
    </xf>
    <xf numFmtId="252" fontId="289" fillId="37" borderId="39" xfId="58" applyNumberFormat="1" applyFont="1" applyFill="1" applyBorder="1" applyAlignment="1">
      <alignment horizontal="left" vertical="center"/>
    </xf>
    <xf numFmtId="44" fontId="289" fillId="37" borderId="40" xfId="62" applyFont="1" applyFill="1" applyBorder="1" applyAlignment="1">
      <alignment horizontal="left" vertical="center"/>
    </xf>
    <xf numFmtId="0" fontId="67" fillId="37" borderId="41" xfId="58" applyFont="1" applyFill="1" applyBorder="1" applyAlignment="1">
      <alignment vertical="center"/>
    </xf>
    <xf numFmtId="252" fontId="289" fillId="26" borderId="53" xfId="58" applyNumberFormat="1" applyFont="1" applyFill="1" applyBorder="1" applyAlignment="1">
      <alignment horizontal="left" vertical="center"/>
    </xf>
    <xf numFmtId="0" fontId="288" fillId="26" borderId="54" xfId="58" applyFont="1" applyFill="1" applyBorder="1" applyAlignment="1">
      <alignment vertical="center"/>
    </xf>
    <xf numFmtId="0" fontId="288" fillId="26" borderId="59" xfId="58" applyFont="1" applyFill="1" applyBorder="1" applyAlignment="1">
      <alignment vertical="center"/>
    </xf>
    <xf numFmtId="217" fontId="99" fillId="26" borderId="59" xfId="58" applyNumberFormat="1" applyFont="1" applyFill="1" applyBorder="1" applyAlignment="1">
      <alignment vertical="center"/>
    </xf>
    <xf numFmtId="0" fontId="290" fillId="26" borderId="54" xfId="58" applyFont="1" applyFill="1" applyBorder="1" applyAlignment="1">
      <alignment vertical="center"/>
    </xf>
    <xf numFmtId="0" fontId="290" fillId="26" borderId="59" xfId="58" applyFont="1" applyFill="1" applyBorder="1" applyAlignment="1">
      <alignment vertical="center"/>
    </xf>
    <xf numFmtId="0" fontId="291" fillId="37" borderId="0" xfId="58" applyFont="1" applyFill="1" applyAlignment="1">
      <alignment vertical="center"/>
    </xf>
    <xf numFmtId="0" fontId="292" fillId="37" borderId="0" xfId="58" applyFont="1" applyFill="1" applyAlignment="1">
      <alignment vertical="center"/>
    </xf>
    <xf numFmtId="10" fontId="129" fillId="37" borderId="59" xfId="58" applyNumberFormat="1" applyFont="1" applyFill="1" applyBorder="1" applyAlignment="1">
      <alignment horizontal="center" vertical="center"/>
    </xf>
    <xf numFmtId="10" fontId="129" fillId="37" borderId="41" xfId="58" applyNumberFormat="1" applyFont="1" applyFill="1" applyBorder="1" applyAlignment="1">
      <alignment horizontal="center" vertical="center"/>
    </xf>
    <xf numFmtId="217" fontId="99" fillId="26" borderId="37" xfId="58" applyNumberFormat="1" applyFont="1" applyFill="1" applyBorder="1" applyAlignment="1">
      <alignment vertical="center"/>
    </xf>
    <xf numFmtId="0" fontId="66" fillId="0" borderId="53" xfId="58" applyFont="1" applyBorder="1" applyAlignment="1" applyProtection="1">
      <alignment horizontal="center" vertical="center"/>
    </xf>
    <xf numFmtId="0" fontId="66" fillId="0" borderId="59" xfId="58" applyFont="1" applyBorder="1" applyAlignment="1" applyProtection="1">
      <alignment horizontal="center" vertical="center"/>
    </xf>
    <xf numFmtId="0" fontId="67" fillId="0" borderId="0" xfId="58" applyFont="1" applyAlignment="1"/>
    <xf numFmtId="0" fontId="66" fillId="0" borderId="64" xfId="58" applyFont="1" applyBorder="1" applyAlignment="1" applyProtection="1">
      <alignment horizontal="center" vertical="center" wrapText="1"/>
    </xf>
    <xf numFmtId="0" fontId="119" fillId="26" borderId="40" xfId="58" applyFont="1" applyFill="1" applyBorder="1" applyAlignment="1">
      <alignment horizontal="left" vertical="center" shrinkToFit="1"/>
    </xf>
    <xf numFmtId="0" fontId="288" fillId="26" borderId="0" xfId="58" applyFont="1" applyFill="1" applyBorder="1" applyAlignment="1">
      <alignment vertical="center"/>
    </xf>
    <xf numFmtId="3" fontId="288" fillId="26" borderId="0" xfId="58" applyNumberFormat="1" applyFont="1" applyFill="1" applyBorder="1" applyAlignment="1" applyProtection="1">
      <alignment vertical="center"/>
    </xf>
    <xf numFmtId="217" fontId="99" fillId="32" borderId="37" xfId="58" applyNumberFormat="1" applyFont="1" applyFill="1" applyBorder="1" applyAlignment="1">
      <alignment vertical="center"/>
    </xf>
    <xf numFmtId="224" fontId="67" fillId="47" borderId="190" xfId="62" applyNumberFormat="1" applyFont="1" applyFill="1" applyBorder="1" applyAlignment="1" applyProtection="1">
      <alignment horizontal="center" vertical="center"/>
      <protection locked="0"/>
    </xf>
    <xf numFmtId="0" fontId="67" fillId="47" borderId="101" xfId="58" applyNumberFormat="1" applyFont="1" applyFill="1" applyBorder="1" applyAlignment="1" applyProtection="1">
      <alignment vertical="center"/>
      <protection locked="0"/>
    </xf>
    <xf numFmtId="0" fontId="67" fillId="47" borderId="64" xfId="58" applyNumberFormat="1" applyFont="1" applyFill="1" applyBorder="1" applyAlignment="1" applyProtection="1">
      <alignment vertical="center"/>
      <protection locked="0"/>
    </xf>
    <xf numFmtId="224" fontId="67" fillId="47" borderId="196" xfId="62" applyNumberFormat="1" applyFont="1" applyFill="1" applyBorder="1" applyAlignment="1" applyProtection="1">
      <alignment horizontal="center" vertical="center"/>
      <protection locked="0"/>
    </xf>
    <xf numFmtId="224" fontId="67" fillId="47" borderId="182" xfId="62" applyNumberFormat="1" applyFont="1" applyFill="1" applyBorder="1" applyAlignment="1" applyProtection="1">
      <alignment horizontal="center" vertical="center"/>
      <protection locked="0"/>
    </xf>
    <xf numFmtId="224" fontId="67" fillId="47" borderId="198" xfId="62" applyNumberFormat="1" applyFont="1" applyFill="1" applyBorder="1" applyAlignment="1" applyProtection="1">
      <alignment horizontal="center" vertical="center"/>
      <protection locked="0"/>
    </xf>
    <xf numFmtId="14" fontId="67" fillId="47" borderId="177" xfId="62" applyNumberFormat="1" applyFont="1" applyFill="1" applyBorder="1" applyAlignment="1" applyProtection="1">
      <alignment horizontal="center" vertical="center"/>
    </xf>
    <xf numFmtId="14" fontId="67" fillId="47" borderId="181" xfId="62" applyNumberFormat="1" applyFont="1" applyFill="1" applyBorder="1" applyAlignment="1" applyProtection="1">
      <alignment horizontal="center" vertical="center"/>
    </xf>
    <xf numFmtId="14" fontId="67" fillId="47" borderId="133" xfId="62" applyNumberFormat="1" applyFont="1" applyFill="1" applyBorder="1" applyAlignment="1" applyProtection="1">
      <alignment horizontal="center" vertical="center"/>
    </xf>
    <xf numFmtId="224" fontId="67" fillId="47" borderId="199" xfId="62" applyNumberFormat="1" applyFont="1" applyFill="1" applyBorder="1" applyAlignment="1" applyProtection="1">
      <alignment horizontal="center" vertical="center"/>
      <protection locked="0"/>
    </xf>
    <xf numFmtId="224" fontId="67" fillId="47" borderId="200" xfId="62" applyNumberFormat="1" applyFont="1" applyFill="1" applyBorder="1" applyAlignment="1" applyProtection="1">
      <alignment horizontal="center" vertical="center"/>
      <protection locked="0"/>
    </xf>
    <xf numFmtId="0" fontId="66" fillId="47" borderId="101" xfId="58" applyNumberFormat="1" applyFont="1" applyFill="1" applyBorder="1" applyAlignment="1" applyProtection="1">
      <alignment horizontal="center" vertical="center"/>
      <protection locked="0"/>
    </xf>
    <xf numFmtId="0" fontId="66" fillId="47" borderId="213" xfId="58" applyNumberFormat="1" applyFont="1" applyFill="1" applyBorder="1" applyAlignment="1" applyProtection="1">
      <alignment horizontal="center" vertical="center"/>
      <protection locked="0"/>
    </xf>
    <xf numFmtId="49" fontId="67" fillId="47" borderId="120" xfId="58" applyNumberFormat="1" applyFont="1" applyFill="1" applyBorder="1" applyAlignment="1" applyProtection="1">
      <alignment vertical="center"/>
      <protection locked="0"/>
    </xf>
    <xf numFmtId="49" fontId="67" fillId="47" borderId="121" xfId="58" applyNumberFormat="1" applyFont="1" applyFill="1" applyBorder="1" applyAlignment="1" applyProtection="1">
      <alignment vertical="center"/>
      <protection locked="0"/>
    </xf>
    <xf numFmtId="49" fontId="67" fillId="47" borderId="122" xfId="58" applyNumberFormat="1" applyFont="1" applyFill="1" applyBorder="1" applyAlignment="1" applyProtection="1">
      <alignment vertical="center"/>
      <protection locked="0"/>
    </xf>
    <xf numFmtId="0" fontId="67" fillId="47" borderId="188" xfId="58" applyNumberFormat="1" applyFont="1" applyFill="1" applyBorder="1" applyAlignment="1" applyProtection="1">
      <alignment vertical="center"/>
      <protection locked="0"/>
    </xf>
    <xf numFmtId="0" fontId="67" fillId="47" borderId="190" xfId="58" applyNumberFormat="1" applyFont="1" applyFill="1" applyBorder="1" applyAlignment="1" applyProtection="1">
      <alignment vertical="center"/>
      <protection locked="0"/>
    </xf>
    <xf numFmtId="0" fontId="67" fillId="47" borderId="196" xfId="58" applyNumberFormat="1" applyFont="1" applyFill="1" applyBorder="1" applyAlignment="1" applyProtection="1">
      <alignment vertical="center"/>
      <protection locked="0"/>
    </xf>
    <xf numFmtId="14" fontId="67" fillId="47" borderId="177" xfId="58" applyNumberFormat="1" applyFont="1" applyFill="1" applyBorder="1" applyAlignment="1" applyProtection="1">
      <alignment vertical="center"/>
      <protection locked="0"/>
    </xf>
    <xf numFmtId="14" fontId="67" fillId="47" borderId="181" xfId="58" applyNumberFormat="1" applyFont="1" applyFill="1" applyBorder="1" applyAlignment="1" applyProtection="1">
      <alignment vertical="center"/>
      <protection locked="0"/>
    </xf>
    <xf numFmtId="14" fontId="67" fillId="47" borderId="133" xfId="58" applyNumberFormat="1" applyFont="1" applyFill="1" applyBorder="1" applyAlignment="1" applyProtection="1">
      <alignment vertical="center"/>
      <protection locked="0"/>
    </xf>
    <xf numFmtId="0" fontId="88" fillId="47" borderId="13" xfId="0" applyFont="1" applyFill="1" applyBorder="1" applyAlignment="1" applyProtection="1">
      <alignment horizontal="center" vertical="center"/>
    </xf>
    <xf numFmtId="0" fontId="124" fillId="0" borderId="115" xfId="0" applyFont="1" applyFill="1" applyBorder="1" applyAlignment="1" applyProtection="1">
      <alignment vertical="center"/>
    </xf>
    <xf numFmtId="0" fontId="119" fillId="26" borderId="40" xfId="58" applyFont="1" applyFill="1" applyBorder="1" applyAlignment="1">
      <alignment vertical="center" shrinkToFit="1"/>
    </xf>
    <xf numFmtId="227" fontId="67" fillId="47" borderId="190" xfId="58" applyNumberFormat="1" applyFont="1" applyFill="1" applyBorder="1" applyAlignment="1" applyProtection="1">
      <alignment horizontal="center" vertical="center"/>
      <protection locked="0"/>
    </xf>
    <xf numFmtId="227" fontId="67" fillId="47" borderId="196" xfId="58" applyNumberFormat="1" applyFont="1" applyFill="1" applyBorder="1" applyAlignment="1" applyProtection="1">
      <alignment horizontal="center" vertical="center"/>
      <protection locked="0"/>
    </xf>
    <xf numFmtId="227" fontId="67" fillId="47" borderId="190" xfId="58" applyNumberFormat="1" applyFont="1" applyFill="1" applyBorder="1" applyAlignment="1" applyProtection="1">
      <alignment horizontal="center" vertical="center"/>
    </xf>
    <xf numFmtId="227" fontId="67" fillId="47" borderId="196" xfId="58" applyNumberFormat="1" applyFont="1" applyFill="1" applyBorder="1" applyAlignment="1" applyProtection="1">
      <alignment horizontal="center" vertical="center"/>
    </xf>
    <xf numFmtId="253" fontId="66" fillId="32" borderId="197" xfId="62" applyNumberFormat="1" applyFont="1" applyFill="1" applyBorder="1" applyAlignment="1" applyProtection="1">
      <alignment horizontal="center" vertical="center" shrinkToFit="1"/>
    </xf>
    <xf numFmtId="253" fontId="66" fillId="32" borderId="206" xfId="62" applyNumberFormat="1" applyFont="1" applyFill="1" applyBorder="1" applyAlignment="1" applyProtection="1">
      <alignment horizontal="center" vertical="center" shrinkToFit="1"/>
    </xf>
    <xf numFmtId="253" fontId="66" fillId="32" borderId="209" xfId="62" applyNumberFormat="1" applyFont="1" applyFill="1" applyBorder="1" applyAlignment="1" applyProtection="1">
      <alignment horizontal="center" vertical="center" shrinkToFit="1"/>
    </xf>
    <xf numFmtId="44" fontId="113" fillId="32" borderId="195" xfId="62" applyNumberFormat="1" applyFont="1" applyFill="1" applyBorder="1" applyAlignment="1" applyProtection="1">
      <alignment horizontal="center" vertical="center"/>
    </xf>
    <xf numFmtId="217" fontId="113" fillId="32" borderId="197" xfId="58" applyNumberFormat="1" applyFont="1" applyFill="1" applyBorder="1" applyAlignment="1" applyProtection="1">
      <alignment horizontal="center" vertical="center"/>
    </xf>
    <xf numFmtId="0" fontId="66" fillId="26" borderId="81" xfId="58" applyFont="1" applyFill="1" applyBorder="1" applyAlignment="1">
      <alignment horizontal="right" vertical="center"/>
    </xf>
    <xf numFmtId="0" fontId="66" fillId="32" borderId="188" xfId="58" applyFont="1" applyFill="1" applyBorder="1" applyAlignment="1" applyProtection="1">
      <alignment horizontal="right" vertical="center"/>
    </xf>
    <xf numFmtId="0" fontId="113" fillId="32" borderId="195" xfId="58" applyFont="1" applyFill="1" applyBorder="1" applyAlignment="1" applyProtection="1">
      <alignment horizontal="right" vertical="center"/>
    </xf>
    <xf numFmtId="278" fontId="66" fillId="32" borderId="188" xfId="58" applyNumberFormat="1" applyFont="1" applyFill="1" applyBorder="1" applyAlignment="1" applyProtection="1">
      <alignment horizontal="center" vertical="center"/>
    </xf>
    <xf numFmtId="227" fontId="66" fillId="32" borderId="203" xfId="62" applyNumberFormat="1" applyFont="1" applyFill="1" applyBorder="1" applyAlignment="1">
      <alignment horizontal="center" vertical="center"/>
    </xf>
    <xf numFmtId="278" fontId="66" fillId="26" borderId="122" xfId="58" applyNumberFormat="1" applyFont="1" applyFill="1" applyBorder="1" applyAlignment="1">
      <alignment horizontal="center" vertical="center"/>
    </xf>
    <xf numFmtId="1" fontId="67" fillId="32" borderId="176" xfId="58" applyNumberFormat="1" applyFont="1" applyFill="1" applyBorder="1" applyAlignment="1">
      <alignment horizontal="right" vertical="center"/>
    </xf>
    <xf numFmtId="2" fontId="67" fillId="32" borderId="82" xfId="58" applyNumberFormat="1" applyFont="1" applyFill="1" applyBorder="1" applyAlignment="1">
      <alignment horizontal="center" vertical="center"/>
    </xf>
    <xf numFmtId="186" fontId="182" fillId="32" borderId="0" xfId="0" applyNumberFormat="1" applyFont="1" applyFill="1" applyBorder="1" applyAlignment="1">
      <alignment horizontal="right"/>
    </xf>
    <xf numFmtId="0" fontId="26" fillId="26" borderId="0" xfId="58" quotePrefix="1" applyFont="1" applyFill="1" applyAlignment="1">
      <alignment horizontal="center"/>
    </xf>
    <xf numFmtId="0" fontId="24" fillId="26" borderId="0" xfId="58" applyFont="1" applyFill="1" applyAlignment="1">
      <alignment horizontal="center"/>
    </xf>
    <xf numFmtId="0" fontId="24" fillId="26" borderId="0" xfId="58" applyFont="1" applyFill="1" applyAlignment="1">
      <alignment horizontal="center" vertical="center"/>
    </xf>
    <xf numFmtId="0" fontId="24" fillId="26" borderId="0" xfId="58" quotePrefix="1" applyFont="1" applyFill="1" applyAlignment="1">
      <alignment horizontal="center"/>
    </xf>
    <xf numFmtId="0" fontId="23" fillId="26" borderId="0" xfId="58" applyFont="1" applyFill="1" applyAlignment="1">
      <alignment horizontal="center"/>
    </xf>
    <xf numFmtId="0" fontId="26" fillId="26" borderId="0" xfId="58" applyFont="1" applyFill="1" applyAlignment="1">
      <alignment horizontal="center"/>
    </xf>
    <xf numFmtId="0" fontId="67" fillId="26" borderId="40" xfId="58" applyNumberFormat="1" applyFont="1" applyFill="1" applyBorder="1" applyAlignment="1" applyProtection="1">
      <alignment vertical="center"/>
    </xf>
    <xf numFmtId="49" fontId="67" fillId="26" borderId="202" xfId="58" applyNumberFormat="1" applyFont="1" applyFill="1" applyBorder="1" applyAlignment="1" applyProtection="1">
      <alignment vertical="center"/>
    </xf>
    <xf numFmtId="217" fontId="67" fillId="47" borderId="177" xfId="58" applyNumberFormat="1" applyFont="1" applyFill="1" applyBorder="1" applyAlignment="1" applyProtection="1">
      <alignment horizontal="left" vertical="center" indent="1"/>
    </xf>
    <xf numFmtId="217" fontId="67" fillId="47" borderId="133" xfId="58" applyNumberFormat="1" applyFont="1" applyFill="1" applyBorder="1" applyAlignment="1" applyProtection="1">
      <alignment horizontal="left" vertical="center" indent="1"/>
    </xf>
    <xf numFmtId="44" fontId="67" fillId="26" borderId="64" xfId="58" applyNumberFormat="1" applyFont="1" applyFill="1" applyBorder="1" applyAlignment="1" applyProtection="1">
      <alignment horizontal="left" vertical="center" indent="1"/>
    </xf>
    <xf numFmtId="217" fontId="66" fillId="32" borderId="110" xfId="58" applyNumberFormat="1" applyFont="1" applyFill="1" applyBorder="1" applyAlignment="1" applyProtection="1">
      <alignment horizontal="left" vertical="center"/>
    </xf>
    <xf numFmtId="191" fontId="67" fillId="26" borderId="63" xfId="58" applyNumberFormat="1" applyFont="1" applyFill="1" applyBorder="1" applyAlignment="1" applyProtection="1">
      <alignment vertical="center"/>
    </xf>
    <xf numFmtId="7" fontId="296" fillId="32" borderId="0" xfId="62" applyNumberFormat="1" applyFont="1" applyFill="1" applyBorder="1" applyAlignment="1">
      <alignment vertical="center"/>
    </xf>
    <xf numFmtId="0" fontId="297" fillId="32" borderId="0" xfId="58" applyFont="1" applyFill="1" applyBorder="1"/>
    <xf numFmtId="0" fontId="296" fillId="32" borderId="0" xfId="58" applyFont="1" applyFill="1" applyBorder="1" applyAlignment="1">
      <alignment horizontal="right"/>
    </xf>
    <xf numFmtId="0" fontId="265" fillId="32" borderId="110" xfId="58" applyFont="1" applyFill="1" applyBorder="1" applyAlignment="1" applyProtection="1">
      <alignment vertical="center"/>
      <protection locked="0"/>
    </xf>
    <xf numFmtId="0" fontId="265" fillId="32" borderId="136" xfId="58" applyFont="1" applyFill="1" applyBorder="1" applyAlignment="1" applyProtection="1">
      <alignment vertical="center"/>
      <protection locked="0"/>
    </xf>
    <xf numFmtId="0" fontId="265" fillId="32" borderId="188" xfId="58" applyFont="1" applyFill="1" applyBorder="1" applyAlignment="1" applyProtection="1">
      <alignment vertical="center"/>
      <protection locked="0"/>
    </xf>
    <xf numFmtId="0" fontId="265" fillId="32" borderId="193" xfId="58" applyFont="1" applyFill="1" applyBorder="1" applyAlignment="1" applyProtection="1">
      <alignment vertical="center"/>
      <protection locked="0"/>
    </xf>
    <xf numFmtId="0" fontId="265" fillId="32" borderId="211" xfId="58" applyFont="1" applyFill="1" applyBorder="1" applyAlignment="1" applyProtection="1">
      <alignment vertical="center"/>
      <protection locked="0"/>
    </xf>
    <xf numFmtId="0" fontId="265" fillId="32" borderId="28" xfId="58" applyFont="1" applyFill="1" applyBorder="1" applyAlignment="1" applyProtection="1">
      <alignment vertical="center"/>
      <protection locked="0"/>
    </xf>
    <xf numFmtId="259" fontId="265" fillId="32" borderId="205" xfId="58" applyNumberFormat="1" applyFont="1" applyFill="1" applyBorder="1" applyAlignment="1" applyProtection="1">
      <alignment vertical="center"/>
      <protection locked="0"/>
    </xf>
    <xf numFmtId="259" fontId="265" fillId="32" borderId="195" xfId="58" applyNumberFormat="1" applyFont="1" applyFill="1" applyBorder="1" applyAlignment="1" applyProtection="1">
      <alignment vertical="center"/>
      <protection locked="0"/>
    </xf>
    <xf numFmtId="0" fontId="107" fillId="32" borderId="193" xfId="58" applyFont="1" applyFill="1" applyBorder="1" applyAlignment="1" applyProtection="1">
      <alignment vertical="center"/>
      <protection locked="0"/>
    </xf>
    <xf numFmtId="0" fontId="107" fillId="32" borderId="194" xfId="58" applyFont="1" applyFill="1" applyBorder="1" applyAlignment="1" applyProtection="1">
      <alignment vertical="center"/>
      <protection locked="0"/>
    </xf>
    <xf numFmtId="0" fontId="299" fillId="62" borderId="13" xfId="65" applyFont="1" applyFill="1" applyBorder="1" applyAlignment="1">
      <alignment vertical="center" wrapText="1"/>
    </xf>
    <xf numFmtId="281" fontId="299" fillId="62" borderId="13" xfId="65" applyNumberFormat="1" applyFont="1" applyFill="1" applyBorder="1" applyAlignment="1">
      <alignment vertical="center" wrapText="1"/>
    </xf>
    <xf numFmtId="49" fontId="299" fillId="62" borderId="13" xfId="65" applyNumberFormat="1" applyFont="1" applyFill="1" applyBorder="1" applyAlignment="1">
      <alignment vertical="center" wrapText="1"/>
    </xf>
    <xf numFmtId="2" fontId="299" fillId="62" borderId="13" xfId="65" applyNumberFormat="1" applyFont="1" applyFill="1" applyBorder="1" applyAlignment="1">
      <alignment vertical="center" wrapText="1"/>
    </xf>
    <xf numFmtId="0" fontId="301" fillId="62" borderId="0" xfId="65" applyFont="1" applyFill="1" applyAlignment="1">
      <alignment vertical="center" wrapText="1"/>
    </xf>
    <xf numFmtId="49" fontId="302" fillId="0" borderId="0" xfId="65" applyNumberFormat="1" applyFont="1"/>
    <xf numFmtId="0" fontId="304" fillId="0" borderId="0" xfId="65" applyFont="1"/>
    <xf numFmtId="0" fontId="302" fillId="0" borderId="0" xfId="65" applyFont="1"/>
    <xf numFmtId="0" fontId="302" fillId="0" borderId="0" xfId="65" applyFont="1" applyFill="1"/>
    <xf numFmtId="49" fontId="303" fillId="0" borderId="0" xfId="65" applyNumberFormat="1" applyFont="1" applyFill="1"/>
    <xf numFmtId="0" fontId="305" fillId="0" borderId="0" xfId="65" applyFont="1"/>
    <xf numFmtId="0" fontId="306" fillId="0" borderId="0" xfId="65" applyFont="1"/>
    <xf numFmtId="0" fontId="306" fillId="0" borderId="0" xfId="65" applyFont="1" applyFill="1"/>
    <xf numFmtId="49" fontId="306" fillId="0" borderId="0" xfId="65" applyNumberFormat="1" applyFont="1"/>
    <xf numFmtId="0" fontId="305" fillId="32" borderId="0" xfId="65" applyFont="1" applyFill="1"/>
    <xf numFmtId="0" fontId="302" fillId="32" borderId="0" xfId="65" applyFont="1" applyFill="1"/>
    <xf numFmtId="15" fontId="302" fillId="0" borderId="0" xfId="65" applyNumberFormat="1" applyFont="1"/>
    <xf numFmtId="247" fontId="302" fillId="0" borderId="0" xfId="65" applyNumberFormat="1" applyFont="1" applyAlignment="1">
      <alignment horizontal="left"/>
    </xf>
    <xf numFmtId="0" fontId="302" fillId="0" borderId="0" xfId="65" applyFont="1" applyAlignment="1">
      <alignment horizontal="left"/>
    </xf>
    <xf numFmtId="44" fontId="302" fillId="0" borderId="0" xfId="65" applyNumberFormat="1" applyFont="1"/>
    <xf numFmtId="14" fontId="302" fillId="0" borderId="0" xfId="65" applyNumberFormat="1" applyFont="1" applyAlignment="1">
      <alignment horizontal="left"/>
    </xf>
    <xf numFmtId="0" fontId="302" fillId="0" borderId="13" xfId="65" applyFont="1" applyBorder="1"/>
    <xf numFmtId="0" fontId="302" fillId="0" borderId="13" xfId="65" applyFont="1" applyBorder="1" applyAlignment="1">
      <alignment horizontal="left"/>
    </xf>
    <xf numFmtId="247" fontId="302" fillId="0" borderId="13" xfId="65" applyNumberFormat="1" applyFont="1" applyBorder="1" applyAlignment="1">
      <alignment horizontal="left"/>
    </xf>
    <xf numFmtId="44" fontId="302" fillId="0" borderId="13" xfId="65" applyNumberFormat="1" applyFont="1" applyBorder="1"/>
    <xf numFmtId="14" fontId="302" fillId="0" borderId="13" xfId="65" applyNumberFormat="1" applyFont="1" applyBorder="1" applyAlignment="1">
      <alignment horizontal="left"/>
    </xf>
    <xf numFmtId="49" fontId="302" fillId="0" borderId="13" xfId="65" applyNumberFormat="1" applyFont="1" applyBorder="1"/>
    <xf numFmtId="247" fontId="302" fillId="0" borderId="13" xfId="65" applyNumberFormat="1" applyFont="1" applyBorder="1"/>
    <xf numFmtId="10" fontId="67" fillId="0" borderId="192" xfId="41" applyNumberFormat="1" applyFont="1" applyFill="1" applyBorder="1" applyAlignment="1" applyProtection="1">
      <alignment vertical="center"/>
    </xf>
    <xf numFmtId="10" fontId="67" fillId="0" borderId="38" xfId="41" applyNumberFormat="1" applyFont="1" applyFill="1" applyBorder="1" applyAlignment="1">
      <alignment vertical="center"/>
    </xf>
    <xf numFmtId="224" fontId="265" fillId="32" borderId="182" xfId="62" applyNumberFormat="1" applyFont="1" applyFill="1" applyBorder="1" applyAlignment="1" applyProtection="1">
      <alignment vertical="center"/>
    </xf>
    <xf numFmtId="224" fontId="67" fillId="32" borderId="21" xfId="62" applyNumberFormat="1" applyFont="1" applyFill="1" applyBorder="1" applyAlignment="1" applyProtection="1">
      <alignment vertical="center"/>
      <protection locked="0"/>
    </xf>
    <xf numFmtId="44" fontId="298" fillId="32" borderId="197" xfId="62" applyNumberFormat="1" applyFont="1" applyFill="1" applyBorder="1" applyAlignment="1" applyProtection="1">
      <alignment vertical="center"/>
      <protection locked="0"/>
    </xf>
    <xf numFmtId="10" fontId="67" fillId="32" borderId="180" xfId="41" applyNumberFormat="1" applyFont="1" applyFill="1" applyBorder="1" applyAlignment="1" applyProtection="1">
      <alignment horizontal="center" vertical="center"/>
    </xf>
    <xf numFmtId="282" fontId="67" fillId="32" borderId="0" xfId="62" applyNumberFormat="1" applyFont="1" applyFill="1" applyBorder="1" applyAlignment="1" applyProtection="1">
      <alignment horizontal="center" vertical="center"/>
    </xf>
    <xf numFmtId="282" fontId="67" fillId="32" borderId="36" xfId="62" applyNumberFormat="1" applyFont="1" applyFill="1" applyBorder="1" applyAlignment="1" applyProtection="1">
      <alignment horizontal="center" vertical="center"/>
    </xf>
    <xf numFmtId="282" fontId="67" fillId="32" borderId="11" xfId="62" applyNumberFormat="1" applyFont="1" applyFill="1" applyBorder="1" applyAlignment="1" applyProtection="1">
      <alignment horizontal="center" vertical="center" shrinkToFit="1"/>
    </xf>
    <xf numFmtId="0" fontId="302" fillId="61" borderId="13" xfId="65" applyFont="1" applyFill="1" applyBorder="1"/>
    <xf numFmtId="14" fontId="182" fillId="32" borderId="0" xfId="0" applyNumberFormat="1" applyFont="1" applyFill="1" applyBorder="1" applyAlignment="1">
      <alignment horizontal="center"/>
    </xf>
    <xf numFmtId="177" fontId="182" fillId="32" borderId="0" xfId="0" applyNumberFormat="1" applyFont="1" applyFill="1" applyBorder="1" applyAlignment="1">
      <alignment horizontal="center"/>
    </xf>
    <xf numFmtId="7" fontId="182" fillId="32" borderId="0" xfId="0" applyNumberFormat="1" applyFont="1" applyFill="1" applyBorder="1" applyAlignment="1">
      <alignment horizontal="center"/>
    </xf>
    <xf numFmtId="234" fontId="182" fillId="32" borderId="0" xfId="0" applyNumberFormat="1" applyFont="1" applyFill="1" applyBorder="1" applyAlignment="1">
      <alignment horizontal="center"/>
    </xf>
    <xf numFmtId="270" fontId="182" fillId="32" borderId="38" xfId="0" applyNumberFormat="1" applyFont="1" applyFill="1" applyBorder="1" applyAlignment="1">
      <alignment horizontal="center"/>
    </xf>
    <xf numFmtId="0" fontId="123" fillId="32" borderId="39" xfId="0" applyFont="1" applyFill="1" applyBorder="1" applyAlignment="1">
      <alignment horizontal="right"/>
    </xf>
    <xf numFmtId="14" fontId="182" fillId="32" borderId="40" xfId="0" applyNumberFormat="1" applyFont="1" applyFill="1" applyBorder="1" applyAlignment="1">
      <alignment horizontal="center"/>
    </xf>
    <xf numFmtId="177" fontId="182" fillId="32" borderId="40" xfId="0" applyNumberFormat="1" applyFont="1" applyFill="1" applyBorder="1" applyAlignment="1">
      <alignment horizontal="center"/>
    </xf>
    <xf numFmtId="7" fontId="182" fillId="32" borderId="40" xfId="0" applyNumberFormat="1" applyFont="1" applyFill="1" applyBorder="1" applyAlignment="1">
      <alignment horizontal="center"/>
    </xf>
    <xf numFmtId="234" fontId="182" fillId="32" borderId="40" xfId="0" applyNumberFormat="1" applyFont="1" applyFill="1" applyBorder="1" applyAlignment="1">
      <alignment horizontal="center"/>
    </xf>
    <xf numFmtId="270" fontId="182" fillId="32" borderId="41" xfId="0" applyNumberFormat="1" applyFont="1" applyFill="1" applyBorder="1" applyAlignment="1">
      <alignment horizontal="center"/>
    </xf>
    <xf numFmtId="282" fontId="182" fillId="32" borderId="13" xfId="0" applyNumberFormat="1" applyFont="1" applyFill="1" applyBorder="1" applyAlignment="1">
      <alignment horizontal="center"/>
    </xf>
    <xf numFmtId="44" fontId="182" fillId="32" borderId="13" xfId="0" applyNumberFormat="1" applyFont="1" applyFill="1" applyBorder="1" applyAlignment="1">
      <alignment horizontal="center"/>
    </xf>
    <xf numFmtId="3" fontId="152" fillId="26" borderId="62" xfId="0" applyNumberFormat="1" applyFont="1" applyFill="1" applyBorder="1" applyAlignment="1" applyProtection="1">
      <alignment vertical="center" wrapText="1"/>
    </xf>
    <xf numFmtId="0" fontId="26" fillId="26" borderId="0" xfId="58" quotePrefix="1" applyFont="1" applyFill="1" applyAlignment="1">
      <alignment horizontal="left" indent="1"/>
    </xf>
    <xf numFmtId="0" fontId="26" fillId="26" borderId="0" xfId="58" applyFont="1" applyFill="1" applyAlignment="1">
      <alignment horizontal="left" indent="1"/>
    </xf>
    <xf numFmtId="0" fontId="23" fillId="26" borderId="0" xfId="58" applyFont="1" applyFill="1" applyAlignment="1"/>
    <xf numFmtId="0" fontId="26" fillId="26" borderId="0" xfId="58" quotePrefix="1" applyFont="1" applyFill="1" applyAlignment="1">
      <alignment horizontal="center"/>
    </xf>
    <xf numFmtId="0" fontId="26" fillId="26" borderId="0" xfId="58" applyFont="1" applyFill="1" applyAlignment="1">
      <alignment horizontal="center"/>
    </xf>
    <xf numFmtId="0" fontId="308" fillId="26" borderId="0" xfId="58" applyFont="1" applyFill="1" applyAlignment="1">
      <alignment horizontal="center"/>
    </xf>
    <xf numFmtId="0" fontId="15" fillId="26" borderId="0" xfId="58" applyFont="1" applyFill="1" applyBorder="1"/>
    <xf numFmtId="0" fontId="26" fillId="26" borderId="0" xfId="58" quotePrefix="1" applyFont="1" applyFill="1" applyAlignment="1">
      <alignment horizontal="center"/>
    </xf>
    <xf numFmtId="0" fontId="66" fillId="0" borderId="64" xfId="58" applyFont="1" applyBorder="1" applyAlignment="1" applyProtection="1">
      <alignment horizontal="center" wrapText="1"/>
    </xf>
    <xf numFmtId="0" fontId="26" fillId="26" borderId="0" xfId="58" applyFont="1" applyFill="1" applyAlignment="1">
      <alignment horizontal="center"/>
    </xf>
    <xf numFmtId="0" fontId="26" fillId="26" borderId="0" xfId="58" quotePrefix="1" applyFont="1" applyFill="1" applyAlignment="1">
      <alignment horizontal="center"/>
    </xf>
    <xf numFmtId="0" fontId="25" fillId="26" borderId="0" xfId="58" applyFont="1" applyFill="1" applyAlignment="1"/>
    <xf numFmtId="0" fontId="25" fillId="26" borderId="44" xfId="58" applyFont="1" applyFill="1" applyBorder="1" applyAlignment="1"/>
    <xf numFmtId="0" fontId="24" fillId="26" borderId="0" xfId="58" quotePrefix="1" applyFont="1" applyFill="1" applyAlignment="1"/>
    <xf numFmtId="0" fontId="26" fillId="26" borderId="0" xfId="58" quotePrefix="1" applyFont="1" applyFill="1" applyAlignment="1">
      <alignment horizontal="left"/>
    </xf>
    <xf numFmtId="0" fontId="26" fillId="26" borderId="0" xfId="58" quotePrefix="1" applyFont="1" applyFill="1" applyAlignment="1">
      <alignment horizontal="center"/>
    </xf>
    <xf numFmtId="0" fontId="26" fillId="26" borderId="0" xfId="58" applyFont="1" applyFill="1" applyAlignment="1">
      <alignment horizontal="center"/>
    </xf>
    <xf numFmtId="0" fontId="80" fillId="26" borderId="0" xfId="58" applyFont="1" applyFill="1" applyAlignment="1"/>
    <xf numFmtId="0" fontId="33" fillId="26" borderId="0" xfId="58" applyFont="1" applyFill="1" applyAlignment="1"/>
    <xf numFmtId="10" fontId="26" fillId="26" borderId="109" xfId="41" applyNumberFormat="1" applyFont="1" applyFill="1" applyBorder="1" applyAlignment="1">
      <alignment horizontal="right"/>
    </xf>
    <xf numFmtId="227" fontId="26" fillId="26" borderId="74" xfId="58" applyNumberFormat="1" applyFont="1" applyFill="1" applyBorder="1" applyAlignment="1">
      <alignment horizontal="center"/>
    </xf>
    <xf numFmtId="227" fontId="26" fillId="26" borderId="45" xfId="41" applyNumberFormat="1" applyFont="1" applyFill="1" applyBorder="1" applyAlignment="1">
      <alignment horizontal="center"/>
    </xf>
    <xf numFmtId="227" fontId="26" fillId="26" borderId="115" xfId="41" applyNumberFormat="1" applyFont="1" applyFill="1" applyBorder="1" applyAlignment="1">
      <alignment horizontal="center"/>
    </xf>
    <xf numFmtId="227" fontId="26" fillId="26" borderId="86" xfId="41" applyNumberFormat="1" applyFont="1" applyFill="1" applyBorder="1" applyAlignment="1">
      <alignment horizontal="center"/>
    </xf>
    <xf numFmtId="227" fontId="26" fillId="26" borderId="73" xfId="58" applyNumberFormat="1" applyFont="1" applyFill="1" applyBorder="1" applyAlignment="1">
      <alignment horizontal="center"/>
    </xf>
    <xf numFmtId="0" fontId="91" fillId="0" borderId="39" xfId="0" applyFont="1" applyFill="1" applyBorder="1" applyAlignment="1" applyProtection="1">
      <alignment horizontal="right" vertical="center"/>
    </xf>
    <xf numFmtId="4" fontId="152" fillId="32" borderId="17" xfId="0" applyNumberFormat="1" applyFont="1" applyFill="1" applyBorder="1" applyAlignment="1" applyProtection="1">
      <alignment horizontal="right" vertical="center"/>
    </xf>
    <xf numFmtId="282" fontId="24" fillId="26" borderId="0" xfId="58" quotePrefix="1" applyNumberFormat="1" applyFont="1" applyFill="1" applyAlignment="1">
      <alignment vertical="center"/>
    </xf>
    <xf numFmtId="0" fontId="26" fillId="26" borderId="0" xfId="58" applyFont="1" applyFill="1" applyAlignment="1">
      <alignment horizontal="center"/>
    </xf>
    <xf numFmtId="0" fontId="26" fillId="26" borderId="0" xfId="58" quotePrefix="1" applyFont="1" applyFill="1" applyAlignment="1">
      <alignment horizontal="center"/>
    </xf>
    <xf numFmtId="0" fontId="67" fillId="32" borderId="0" xfId="58" applyFont="1" applyFill="1" applyBorder="1"/>
    <xf numFmtId="0" fontId="296" fillId="32" borderId="0" xfId="58" applyFont="1" applyFill="1" applyBorder="1" applyAlignment="1"/>
    <xf numFmtId="49" fontId="30" fillId="0" borderId="25" xfId="59" applyNumberFormat="1" applyFont="1" applyFill="1" applyBorder="1" applyAlignment="1" applyProtection="1">
      <alignment horizontal="center" vertical="center" wrapText="1"/>
      <protection locked="0"/>
    </xf>
    <xf numFmtId="49" fontId="30" fillId="0" borderId="48" xfId="59" applyNumberFormat="1" applyFont="1" applyFill="1" applyBorder="1" applyAlignment="1" applyProtection="1">
      <alignment horizontal="center" wrapText="1"/>
      <protection locked="0"/>
    </xf>
    <xf numFmtId="9" fontId="30" fillId="0" borderId="48" xfId="67" applyFont="1" applyFill="1" applyBorder="1" applyAlignment="1" applyProtection="1">
      <alignment horizontal="center" vertical="center" wrapText="1"/>
    </xf>
    <xf numFmtId="0" fontId="30" fillId="26" borderId="48" xfId="0" applyFont="1" applyFill="1" applyBorder="1" applyAlignment="1">
      <alignment horizontal="center" vertical="center" wrapText="1"/>
    </xf>
    <xf numFmtId="0" fontId="30" fillId="26" borderId="26" xfId="0" applyFont="1" applyFill="1" applyBorder="1" applyAlignment="1">
      <alignment horizontal="center" vertical="center" wrapText="1"/>
    </xf>
    <xf numFmtId="177" fontId="15" fillId="0" borderId="49" xfId="0" applyNumberFormat="1" applyFont="1" applyBorder="1" applyAlignment="1">
      <alignment horizontal="center" vertical="center"/>
    </xf>
    <xf numFmtId="177" fontId="15" fillId="0" borderId="13" xfId="0" applyNumberFormat="1" applyFont="1" applyBorder="1" applyAlignment="1">
      <alignment horizontal="center" vertical="center"/>
    </xf>
    <xf numFmtId="0" fontId="18" fillId="26" borderId="13" xfId="0" applyFont="1" applyFill="1" applyBorder="1" applyAlignment="1">
      <alignment horizontal="center" vertical="center"/>
    </xf>
    <xf numFmtId="0" fontId="18" fillId="26" borderId="29" xfId="0" applyFont="1" applyFill="1" applyBorder="1" applyAlignment="1">
      <alignment horizontal="center" vertical="center"/>
    </xf>
    <xf numFmtId="284" fontId="18" fillId="0" borderId="49" xfId="67" applyNumberFormat="1" applyFont="1" applyFill="1" applyBorder="1" applyAlignment="1" applyProtection="1">
      <alignment horizontal="center" vertical="center"/>
    </xf>
    <xf numFmtId="284" fontId="18" fillId="0" borderId="13" xfId="0" applyNumberFormat="1" applyFont="1" applyBorder="1" applyAlignment="1">
      <alignment horizontal="center" vertical="center"/>
    </xf>
    <xf numFmtId="284" fontId="18" fillId="0" borderId="13" xfId="67" applyNumberFormat="1" applyFont="1" applyFill="1" applyBorder="1" applyAlignment="1" applyProtection="1">
      <alignment horizontal="center" vertical="center"/>
    </xf>
    <xf numFmtId="0" fontId="316" fillId="26" borderId="236" xfId="0" applyFont="1" applyFill="1" applyBorder="1" applyAlignment="1">
      <alignment vertical="center"/>
    </xf>
    <xf numFmtId="0" fontId="316" fillId="26" borderId="237" xfId="0" applyFont="1" applyFill="1" applyBorder="1" applyAlignment="1">
      <alignment vertical="center"/>
    </xf>
    <xf numFmtId="285" fontId="21" fillId="0" borderId="50" xfId="0" applyNumberFormat="1" applyFont="1" applyBorder="1" applyAlignment="1">
      <alignment horizontal="center" vertical="center"/>
    </xf>
    <xf numFmtId="285" fontId="15" fillId="0" borderId="51" xfId="0" applyNumberFormat="1" applyFont="1" applyBorder="1" applyAlignment="1">
      <alignment horizontal="center" vertical="center"/>
    </xf>
    <xf numFmtId="285" fontId="18" fillId="0" borderId="51" xfId="67" applyNumberFormat="1" applyFont="1" applyFill="1" applyBorder="1" applyAlignment="1" applyProtection="1">
      <alignment horizontal="center" vertical="center"/>
    </xf>
    <xf numFmtId="4" fontId="15" fillId="0" borderId="51" xfId="0" applyNumberFormat="1" applyFont="1" applyBorder="1" applyAlignment="1">
      <alignment vertical="center"/>
    </xf>
    <xf numFmtId="4" fontId="15" fillId="0" borderId="32" xfId="0" applyNumberFormat="1" applyFont="1" applyBorder="1" applyAlignment="1">
      <alignment vertical="center"/>
    </xf>
    <xf numFmtId="0" fontId="125" fillId="26" borderId="33" xfId="0" applyNumberFormat="1" applyFont="1" applyFill="1" applyBorder="1"/>
    <xf numFmtId="0" fontId="101" fillId="0" borderId="0" xfId="58" applyFont="1"/>
    <xf numFmtId="0" fontId="317" fillId="0" borderId="13" xfId="58" applyFont="1" applyBorder="1" applyAlignment="1">
      <alignment horizontal="center" vertical="center"/>
    </xf>
    <xf numFmtId="0" fontId="152" fillId="0" borderId="0" xfId="0" applyFont="1" applyFill="1" applyAlignment="1" applyProtection="1">
      <alignment horizontal="center"/>
    </xf>
    <xf numFmtId="0" fontId="107" fillId="40" borderId="13" xfId="58" applyFont="1" applyFill="1" applyBorder="1" applyAlignment="1">
      <alignment horizontal="center"/>
    </xf>
    <xf numFmtId="10" fontId="107" fillId="40" borderId="13" xfId="58" applyNumberFormat="1" applyFont="1" applyFill="1" applyBorder="1" applyAlignment="1">
      <alignment horizontal="center" vertical="center"/>
    </xf>
    <xf numFmtId="0" fontId="107" fillId="40" borderId="13" xfId="58" applyFont="1" applyFill="1" applyBorder="1" applyAlignment="1">
      <alignment horizontal="left" vertical="center"/>
    </xf>
    <xf numFmtId="0" fontId="107" fillId="40" borderId="13" xfId="58" applyFont="1" applyFill="1" applyBorder="1"/>
    <xf numFmtId="0" fontId="107" fillId="0" borderId="13" xfId="58" applyFont="1" applyBorder="1" applyAlignment="1">
      <alignment horizontal="center"/>
    </xf>
    <xf numFmtId="10" fontId="107" fillId="40" borderId="15" xfId="41" applyNumberFormat="1" applyFont="1" applyFill="1" applyBorder="1" applyAlignment="1">
      <alignment horizontal="center"/>
    </xf>
    <xf numFmtId="2" fontId="107" fillId="40" borderId="12" xfId="58" applyNumberFormat="1" applyFont="1" applyFill="1" applyBorder="1" applyAlignment="1">
      <alignment horizontal="center"/>
    </xf>
    <xf numFmtId="0" fontId="66" fillId="0" borderId="0" xfId="58" applyFont="1" applyFill="1" applyBorder="1"/>
    <xf numFmtId="0" fontId="66" fillId="0" borderId="0" xfId="58" applyFont="1" applyFill="1" applyBorder="1" applyAlignment="1">
      <alignment horizontal="center" vertical="center"/>
    </xf>
    <xf numFmtId="9" fontId="66" fillId="0" borderId="0" xfId="58" applyNumberFormat="1" applyFont="1" applyFill="1" applyBorder="1" applyAlignment="1">
      <alignment horizontal="center" vertical="center"/>
    </xf>
    <xf numFmtId="0" fontId="107" fillId="0" borderId="0" xfId="58" applyFont="1" applyFill="1" applyBorder="1" applyAlignment="1">
      <alignment horizontal="left" vertical="center"/>
    </xf>
    <xf numFmtId="0" fontId="107" fillId="0" borderId="0" xfId="58" applyFont="1" applyFill="1" applyBorder="1" applyAlignment="1">
      <alignment horizontal="center"/>
    </xf>
    <xf numFmtId="0" fontId="107" fillId="0" borderId="0" xfId="58" applyFont="1" applyFill="1" applyBorder="1"/>
    <xf numFmtId="10" fontId="107" fillId="0" borderId="0" xfId="58" applyNumberFormat="1" applyFont="1" applyFill="1" applyBorder="1" applyAlignment="1">
      <alignment horizontal="center" vertical="center"/>
    </xf>
    <xf numFmtId="10" fontId="107" fillId="0" borderId="0" xfId="41" applyNumberFormat="1" applyFont="1" applyFill="1" applyBorder="1" applyAlignment="1">
      <alignment horizontal="center" vertical="center"/>
    </xf>
    <xf numFmtId="2" fontId="107" fillId="0" borderId="0" xfId="58" applyNumberFormat="1" applyFont="1" applyFill="1" applyBorder="1" applyAlignment="1">
      <alignment horizontal="center" vertical="center"/>
    </xf>
    <xf numFmtId="0" fontId="317" fillId="0" borderId="0" xfId="58" applyFont="1" applyFill="1" applyBorder="1" applyAlignment="1">
      <alignment horizontal="center" vertical="center"/>
    </xf>
    <xf numFmtId="10" fontId="107" fillId="0" borderId="0" xfId="41" applyNumberFormat="1" applyFont="1" applyFill="1" applyBorder="1" applyAlignment="1">
      <alignment horizontal="center"/>
    </xf>
    <xf numFmtId="2" fontId="107" fillId="0" borderId="0" xfId="58" applyNumberFormat="1" applyFont="1" applyFill="1" applyBorder="1" applyAlignment="1">
      <alignment horizontal="center"/>
    </xf>
    <xf numFmtId="1" fontId="101" fillId="0" borderId="0" xfId="58" applyNumberFormat="1" applyFont="1" applyFill="1" applyBorder="1"/>
    <xf numFmtId="227" fontId="101" fillId="0" borderId="0" xfId="58" applyNumberFormat="1" applyFont="1" applyFill="1" applyBorder="1" applyAlignment="1">
      <alignment horizontal="center"/>
    </xf>
    <xf numFmtId="0" fontId="101" fillId="0" borderId="0" xfId="58" applyFont="1" applyFill="1" applyBorder="1"/>
    <xf numFmtId="10" fontId="107" fillId="0" borderId="0" xfId="58" applyNumberFormat="1" applyFont="1" applyFill="1" applyBorder="1" applyAlignment="1">
      <alignment horizontal="center"/>
    </xf>
    <xf numFmtId="3" fontId="107" fillId="0" borderId="0" xfId="58" applyNumberFormat="1" applyFont="1" applyFill="1" applyBorder="1" applyAlignment="1">
      <alignment horizontal="center"/>
    </xf>
    <xf numFmtId="1" fontId="107" fillId="0" borderId="0" xfId="58" applyNumberFormat="1" applyFont="1" applyFill="1" applyBorder="1"/>
    <xf numFmtId="0" fontId="67" fillId="0" borderId="0" xfId="58" applyFont="1" applyFill="1" applyBorder="1"/>
    <xf numFmtId="0" fontId="107" fillId="0" borderId="0" xfId="58" applyFont="1" applyFill="1" applyBorder="1" applyAlignment="1">
      <alignment vertical="center" wrapText="1"/>
    </xf>
    <xf numFmtId="0" fontId="107" fillId="0" borderId="0" xfId="58" applyFont="1" applyFill="1" applyBorder="1" applyAlignment="1">
      <alignment vertical="center"/>
    </xf>
    <xf numFmtId="286" fontId="107" fillId="0" borderId="0" xfId="58" applyNumberFormat="1" applyFont="1" applyFill="1" applyBorder="1" applyAlignment="1">
      <alignment vertical="center"/>
    </xf>
    <xf numFmtId="10" fontId="107" fillId="0" borderId="0" xfId="41" applyNumberFormat="1" applyFont="1" applyFill="1" applyBorder="1" applyAlignment="1">
      <alignment vertical="center" wrapText="1"/>
    </xf>
    <xf numFmtId="0" fontId="317" fillId="0" borderId="0" xfId="58" applyFont="1" applyFill="1" applyBorder="1" applyAlignment="1">
      <alignment vertical="center" wrapText="1"/>
    </xf>
    <xf numFmtId="0" fontId="317" fillId="0" borderId="0" xfId="58" applyFont="1" applyFill="1" applyBorder="1" applyAlignment="1">
      <alignment vertical="center"/>
    </xf>
    <xf numFmtId="10" fontId="165" fillId="35" borderId="13" xfId="41" applyNumberFormat="1" applyFont="1" applyFill="1" applyBorder="1" applyAlignment="1" applyProtection="1">
      <alignment horizontal="right" vertical="center" wrapText="1"/>
      <protection locked="0"/>
    </xf>
    <xf numFmtId="3" fontId="67" fillId="0" borderId="0" xfId="58" applyNumberFormat="1" applyFont="1"/>
    <xf numFmtId="0" fontId="67" fillId="0" borderId="0" xfId="58" applyFont="1" applyAlignment="1"/>
    <xf numFmtId="0" fontId="295" fillId="26" borderId="40" xfId="58" applyFont="1" applyFill="1" applyBorder="1" applyAlignment="1">
      <alignment vertical="center" shrinkToFit="1"/>
    </xf>
    <xf numFmtId="227" fontId="319" fillId="40" borderId="29" xfId="58" applyNumberFormat="1" applyFont="1" applyFill="1" applyBorder="1" applyAlignment="1">
      <alignment horizontal="center"/>
    </xf>
    <xf numFmtId="2" fontId="107" fillId="40" borderId="10" xfId="58" applyNumberFormat="1" applyFont="1" applyFill="1" applyBorder="1" applyAlignment="1">
      <alignment horizontal="center"/>
    </xf>
    <xf numFmtId="256" fontId="101" fillId="26" borderId="0" xfId="58" applyNumberFormat="1" applyFont="1" applyFill="1" applyBorder="1" applyAlignment="1" applyProtection="1">
      <alignment horizontal="center" vertical="center"/>
      <protection locked="0"/>
    </xf>
    <xf numFmtId="0" fontId="295" fillId="26" borderId="0" xfId="58" applyFont="1" applyFill="1" applyBorder="1" applyAlignment="1">
      <alignment vertical="center" shrinkToFit="1"/>
    </xf>
    <xf numFmtId="0" fontId="119" fillId="26" borderId="0" xfId="58" applyFont="1" applyFill="1" applyBorder="1" applyAlignment="1">
      <alignment vertical="center" shrinkToFit="1"/>
    </xf>
    <xf numFmtId="0" fontId="119" fillId="26" borderId="0" xfId="58" applyFont="1" applyFill="1" applyBorder="1" applyAlignment="1">
      <alignment horizontal="left" vertical="center" shrinkToFit="1"/>
    </xf>
    <xf numFmtId="0" fontId="119" fillId="26" borderId="0" xfId="58" applyFont="1" applyFill="1" applyBorder="1" applyAlignment="1">
      <alignment horizontal="left" vertical="center"/>
    </xf>
    <xf numFmtId="217" fontId="66" fillId="32" borderId="136" xfId="58" applyNumberFormat="1" applyFont="1" applyFill="1" applyBorder="1" applyAlignment="1" applyProtection="1">
      <alignment horizontal="left" vertical="center"/>
    </xf>
    <xf numFmtId="0" fontId="113" fillId="32" borderId="205" xfId="58" applyFont="1" applyFill="1" applyBorder="1" applyAlignment="1" applyProtection="1">
      <alignment horizontal="left" vertical="center"/>
    </xf>
    <xf numFmtId="0" fontId="101" fillId="32" borderId="0" xfId="58" applyFont="1" applyFill="1" applyBorder="1" applyAlignment="1">
      <alignment horizontal="center" vertical="center"/>
    </xf>
    <xf numFmtId="0" fontId="101" fillId="26" borderId="0" xfId="58" applyFont="1" applyFill="1" applyBorder="1" applyAlignment="1">
      <alignment horizontal="center" vertical="center"/>
    </xf>
    <xf numFmtId="0" fontId="107" fillId="26" borderId="0" xfId="58" applyFont="1" applyFill="1" applyBorder="1" applyAlignment="1">
      <alignment horizontal="center" vertical="center" wrapText="1"/>
    </xf>
    <xf numFmtId="0" fontId="107" fillId="26" borderId="0" xfId="58" applyFont="1" applyFill="1" applyBorder="1" applyAlignment="1">
      <alignment horizontal="center" vertical="center" wrapText="1" shrinkToFit="1"/>
    </xf>
    <xf numFmtId="10" fontId="119" fillId="26" borderId="0" xfId="58" applyNumberFormat="1" applyFont="1" applyFill="1" applyBorder="1" applyAlignment="1">
      <alignment horizontal="center" vertical="center" shrinkToFit="1"/>
    </xf>
    <xf numFmtId="10" fontId="119" fillId="26" borderId="0" xfId="41" applyNumberFormat="1" applyFont="1" applyFill="1" applyBorder="1" applyAlignment="1">
      <alignment horizontal="center" vertical="center" shrinkToFit="1"/>
    </xf>
    <xf numFmtId="0" fontId="107" fillId="26" borderId="0" xfId="58" applyFont="1" applyFill="1" applyBorder="1" applyAlignment="1">
      <alignment horizontal="center" vertical="center" shrinkToFit="1"/>
    </xf>
    <xf numFmtId="257" fontId="66" fillId="32" borderId="239" xfId="58" applyNumberFormat="1" applyFont="1" applyFill="1" applyBorder="1" applyAlignment="1">
      <alignment horizontal="center" vertical="center" shrinkToFit="1"/>
    </xf>
    <xf numFmtId="0" fontId="66" fillId="26" borderId="165" xfId="58" applyFont="1" applyFill="1" applyBorder="1" applyAlignment="1">
      <alignment vertical="center"/>
    </xf>
    <xf numFmtId="248" fontId="67" fillId="32" borderId="40" xfId="58" applyNumberFormat="1" applyFont="1" applyFill="1" applyBorder="1" applyAlignment="1">
      <alignment horizontal="center" vertical="center"/>
    </xf>
    <xf numFmtId="0" fontId="321" fillId="26" borderId="71" xfId="58" applyFont="1" applyFill="1" applyBorder="1" applyAlignment="1">
      <alignment horizontal="center" vertical="center"/>
    </xf>
    <xf numFmtId="0" fontId="321" fillId="26" borderId="64" xfId="58" applyFont="1" applyFill="1" applyBorder="1" applyAlignment="1">
      <alignment horizontal="center" vertical="center"/>
    </xf>
    <xf numFmtId="0" fontId="319" fillId="26" borderId="71" xfId="58" applyFont="1" applyFill="1" applyBorder="1" applyAlignment="1">
      <alignment horizontal="center" vertical="center" shrinkToFit="1"/>
    </xf>
    <xf numFmtId="0" fontId="66" fillId="26" borderId="54" xfId="58" applyFont="1" applyFill="1" applyBorder="1" applyAlignment="1">
      <alignment horizontal="left" vertical="center"/>
    </xf>
    <xf numFmtId="2" fontId="107" fillId="26" borderId="109" xfId="58" applyNumberFormat="1" applyFont="1" applyFill="1" applyBorder="1" applyAlignment="1">
      <alignment horizontal="center" vertical="center"/>
    </xf>
    <xf numFmtId="2" fontId="107" fillId="26" borderId="115" xfId="58" applyNumberFormat="1" applyFont="1" applyFill="1" applyBorder="1" applyAlignment="1">
      <alignment horizontal="center" vertical="center"/>
    </xf>
    <xf numFmtId="0" fontId="107" fillId="26" borderId="53" xfId="58" applyFont="1" applyFill="1" applyBorder="1" applyAlignment="1">
      <alignment horizontal="center" vertical="center" shrinkToFit="1"/>
    </xf>
    <xf numFmtId="0" fontId="107" fillId="26" borderId="37" xfId="58" applyFont="1" applyFill="1" applyBorder="1" applyAlignment="1">
      <alignment horizontal="center" vertical="center" shrinkToFit="1"/>
    </xf>
    <xf numFmtId="0" fontId="107" fillId="26" borderId="47" xfId="58" applyFont="1" applyFill="1" applyBorder="1" applyAlignment="1">
      <alignment horizontal="center" vertical="center" shrinkToFit="1"/>
    </xf>
    <xf numFmtId="0" fontId="107" fillId="26" borderId="39" xfId="58" applyFont="1" applyFill="1" applyBorder="1" applyAlignment="1">
      <alignment horizontal="center" vertical="center" shrinkToFit="1"/>
    </xf>
    <xf numFmtId="227" fontId="119" fillId="26" borderId="0" xfId="58" applyNumberFormat="1" applyFont="1" applyFill="1" applyBorder="1" applyAlignment="1">
      <alignment horizontal="center" vertical="center" shrinkToFit="1"/>
    </xf>
    <xf numFmtId="0" fontId="319" fillId="26" borderId="63" xfId="58" applyFont="1" applyFill="1" applyBorder="1" applyAlignment="1">
      <alignment horizontal="center" vertical="center" shrinkToFit="1"/>
    </xf>
    <xf numFmtId="0" fontId="319" fillId="26" borderId="64" xfId="58" applyFont="1" applyFill="1" applyBorder="1" applyAlignment="1">
      <alignment horizontal="center" vertical="center" shrinkToFit="1"/>
    </xf>
    <xf numFmtId="0" fontId="67" fillId="0" borderId="0" xfId="58" applyFont="1" applyFill="1" applyBorder="1" applyAlignment="1"/>
    <xf numFmtId="0" fontId="296" fillId="0" borderId="0" xfId="58" applyFont="1" applyFill="1" applyBorder="1" applyAlignment="1"/>
    <xf numFmtId="7" fontId="296" fillId="0" borderId="0" xfId="62" applyNumberFormat="1" applyFont="1" applyFill="1" applyBorder="1" applyAlignment="1">
      <alignment vertical="center"/>
    </xf>
    <xf numFmtId="0" fontId="297" fillId="0" borderId="0" xfId="58" applyFont="1" applyFill="1" applyBorder="1"/>
    <xf numFmtId="0" fontId="296" fillId="0" borderId="0" xfId="58" applyFont="1" applyFill="1" applyBorder="1" applyAlignment="1">
      <alignment horizontal="right"/>
    </xf>
    <xf numFmtId="0" fontId="67" fillId="0" borderId="0" xfId="58" applyFont="1" applyFill="1" applyBorder="1" applyAlignment="1">
      <alignment horizontal="center"/>
    </xf>
    <xf numFmtId="0" fontId="322" fillId="0" borderId="0" xfId="58" applyFont="1"/>
    <xf numFmtId="10" fontId="107" fillId="40" borderId="22" xfId="41" applyNumberFormat="1" applyFont="1" applyFill="1" applyBorder="1" applyAlignment="1">
      <alignment horizontal="center" vertical="center" wrapText="1"/>
    </xf>
    <xf numFmtId="10" fontId="107" fillId="40" borderId="14" xfId="41" applyNumberFormat="1" applyFont="1" applyFill="1" applyBorder="1" applyAlignment="1">
      <alignment horizontal="center" vertical="center" wrapText="1"/>
    </xf>
    <xf numFmtId="0" fontId="107" fillId="40" borderId="34" xfId="58" applyFont="1" applyFill="1" applyBorder="1" applyAlignment="1">
      <alignment horizontal="center" vertical="center" wrapText="1"/>
    </xf>
    <xf numFmtId="0" fontId="107" fillId="40" borderId="22" xfId="58" applyFont="1" applyFill="1" applyBorder="1" applyAlignment="1">
      <alignment horizontal="center" vertical="center" wrapText="1"/>
    </xf>
    <xf numFmtId="0" fontId="107" fillId="0" borderId="174" xfId="58" applyFont="1" applyBorder="1" applyAlignment="1">
      <alignment horizontal="center" vertical="center"/>
    </xf>
    <xf numFmtId="227" fontId="319" fillId="40" borderId="33" xfId="58" applyNumberFormat="1" applyFont="1" applyFill="1" applyBorder="1" applyAlignment="1">
      <alignment horizontal="center"/>
    </xf>
    <xf numFmtId="0" fontId="67" fillId="0" borderId="0" xfId="58" applyFont="1" applyAlignment="1">
      <alignment horizontal="center" vertical="center"/>
    </xf>
    <xf numFmtId="169" fontId="67" fillId="0" borderId="0" xfId="38" applyFont="1"/>
    <xf numFmtId="287" fontId="290" fillId="0" borderId="0" xfId="41" applyNumberFormat="1" applyFont="1"/>
    <xf numFmtId="0" fontId="279" fillId="32" borderId="54" xfId="0" applyFont="1" applyFill="1" applyBorder="1" applyAlignment="1" applyProtection="1">
      <alignment horizontal="center" vertical="center" wrapText="1"/>
    </xf>
    <xf numFmtId="3" fontId="96" fillId="32" borderId="10" xfId="0" applyNumberFormat="1" applyFont="1" applyFill="1" applyBorder="1" applyAlignment="1" applyProtection="1">
      <alignment vertical="center"/>
    </xf>
    <xf numFmtId="3" fontId="96" fillId="27" borderId="0" xfId="0" applyNumberFormat="1" applyFont="1" applyFill="1" applyBorder="1" applyAlignment="1" applyProtection="1">
      <alignment vertical="center"/>
    </xf>
    <xf numFmtId="3" fontId="96" fillId="32" borderId="40" xfId="0" applyNumberFormat="1" applyFont="1" applyFill="1" applyBorder="1" applyAlignment="1" applyProtection="1">
      <alignment vertical="center"/>
    </xf>
    <xf numFmtId="0" fontId="96" fillId="0" borderId="63" xfId="0" applyFont="1" applyBorder="1" applyProtection="1"/>
    <xf numFmtId="0" fontId="279" fillId="32" borderId="33" xfId="0" applyFont="1" applyFill="1" applyBorder="1" applyAlignment="1" applyProtection="1">
      <alignment horizontal="center" vertical="center" wrapText="1"/>
    </xf>
    <xf numFmtId="0" fontId="96" fillId="36" borderId="26" xfId="0" applyFont="1" applyFill="1" applyBorder="1" applyAlignment="1" applyProtection="1">
      <alignment vertical="center"/>
    </xf>
    <xf numFmtId="3" fontId="96" fillId="32" borderId="29" xfId="0" applyNumberFormat="1" applyFont="1" applyFill="1" applyBorder="1" applyAlignment="1" applyProtection="1">
      <alignment vertical="center"/>
    </xf>
    <xf numFmtId="0" fontId="96" fillId="32" borderId="83" xfId="0" applyFont="1" applyFill="1" applyBorder="1" applyProtection="1"/>
    <xf numFmtId="0" fontId="87" fillId="0" borderId="0" xfId="0" applyFont="1" applyFill="1" applyBorder="1" applyAlignment="1" applyProtection="1">
      <alignment horizontal="center" vertical="center"/>
      <protection locked="0"/>
    </xf>
    <xf numFmtId="0" fontId="87" fillId="0" borderId="0" xfId="0" applyFont="1" applyFill="1" applyBorder="1" applyAlignment="1" applyProtection="1">
      <alignment horizontal="center" vertical="center"/>
    </xf>
    <xf numFmtId="0" fontId="139" fillId="0" borderId="0" xfId="0" applyFont="1" applyFill="1" applyBorder="1" applyAlignment="1" applyProtection="1">
      <alignment horizontal="center" vertical="center" wrapText="1"/>
    </xf>
    <xf numFmtId="3" fontId="182" fillId="0" borderId="0" xfId="0" applyNumberFormat="1" applyFont="1" applyFill="1" applyBorder="1" applyAlignment="1" applyProtection="1">
      <alignment vertical="center"/>
      <protection locked="0"/>
    </xf>
    <xf numFmtId="0" fontId="107" fillId="40" borderId="45" xfId="58" applyFont="1" applyFill="1" applyBorder="1" applyAlignment="1">
      <alignment horizontal="left" vertical="top"/>
    </xf>
    <xf numFmtId="0" fontId="107" fillId="40" borderId="13" xfId="58" applyFont="1" applyFill="1" applyBorder="1" applyAlignment="1">
      <alignment horizontal="left" vertical="top" wrapText="1"/>
    </xf>
    <xf numFmtId="0" fontId="107" fillId="40" borderId="15" xfId="58" applyFont="1" applyFill="1" applyBorder="1" applyAlignment="1">
      <alignment horizontal="left" vertical="top"/>
    </xf>
    <xf numFmtId="2" fontId="107" fillId="40" borderId="12" xfId="58" applyNumberFormat="1" applyFont="1" applyFill="1" applyBorder="1" applyAlignment="1">
      <alignment horizontal="center" vertical="center"/>
    </xf>
    <xf numFmtId="1" fontId="107" fillId="47" borderId="13" xfId="58" applyNumberFormat="1" applyFont="1" applyFill="1" applyBorder="1" applyAlignment="1">
      <alignment horizontal="center" vertical="center"/>
    </xf>
    <xf numFmtId="2" fontId="107" fillId="40" borderId="13" xfId="58" applyNumberFormat="1" applyFont="1" applyFill="1" applyBorder="1" applyAlignment="1">
      <alignment horizontal="center" vertical="center"/>
    </xf>
    <xf numFmtId="3" fontId="107" fillId="40" borderId="33" xfId="58" applyNumberFormat="1" applyFont="1" applyFill="1" applyBorder="1" applyAlignment="1">
      <alignment horizontal="center"/>
    </xf>
    <xf numFmtId="2" fontId="107" fillId="40" borderId="15" xfId="58" applyNumberFormat="1" applyFont="1" applyFill="1" applyBorder="1" applyAlignment="1">
      <alignment horizontal="center"/>
    </xf>
    <xf numFmtId="1" fontId="107" fillId="40" borderId="13" xfId="58" applyNumberFormat="1" applyFont="1" applyFill="1" applyBorder="1" applyAlignment="1">
      <alignment horizontal="center"/>
    </xf>
    <xf numFmtId="10" fontId="322" fillId="0" borderId="0" xfId="58" applyNumberFormat="1" applyFont="1" applyAlignment="1">
      <alignment horizontal="center" vertical="center"/>
    </xf>
    <xf numFmtId="14" fontId="320" fillId="40" borderId="22" xfId="58" applyNumberFormat="1" applyFont="1" applyFill="1" applyBorder="1" applyAlignment="1">
      <alignment horizontal="center" vertical="center" wrapText="1"/>
    </xf>
    <xf numFmtId="14" fontId="320" fillId="40" borderId="14" xfId="58" applyNumberFormat="1" applyFont="1" applyFill="1" applyBorder="1" applyAlignment="1">
      <alignment horizontal="center" vertical="center" wrapText="1"/>
    </xf>
    <xf numFmtId="283" fontId="107" fillId="40" borderId="13" xfId="38" applyNumberFormat="1" applyFont="1" applyFill="1" applyBorder="1" applyAlignment="1">
      <alignment horizontal="center"/>
    </xf>
    <xf numFmtId="283" fontId="107" fillId="47" borderId="13" xfId="38" applyNumberFormat="1" applyFont="1" applyFill="1" applyBorder="1" applyAlignment="1">
      <alignment horizontal="center" vertical="center"/>
    </xf>
    <xf numFmtId="283" fontId="107" fillId="40" borderId="13" xfId="38" applyNumberFormat="1" applyFont="1" applyFill="1" applyBorder="1" applyAlignment="1">
      <alignment horizontal="center" vertical="center"/>
    </xf>
    <xf numFmtId="10" fontId="107" fillId="40" borderId="43" xfId="58" applyNumberFormat="1" applyFont="1" applyFill="1" applyBorder="1" applyAlignment="1">
      <alignment horizontal="center"/>
    </xf>
    <xf numFmtId="9" fontId="322" fillId="0" borderId="33" xfId="58" applyNumberFormat="1" applyFont="1" applyBorder="1" applyAlignment="1">
      <alignment horizontal="center" vertical="center"/>
    </xf>
    <xf numFmtId="2" fontId="107" fillId="40" borderId="43" xfId="58" applyNumberFormat="1" applyFont="1" applyFill="1" applyBorder="1" applyAlignment="1">
      <alignment horizontal="center"/>
    </xf>
    <xf numFmtId="0" fontId="322" fillId="0" borderId="33" xfId="58" applyFont="1" applyBorder="1" applyAlignment="1">
      <alignment horizontal="center" vertical="center"/>
    </xf>
    <xf numFmtId="0" fontId="66" fillId="26" borderId="106" xfId="58" applyFont="1" applyFill="1" applyBorder="1" applyAlignment="1">
      <alignment horizontal="center" vertical="center" wrapText="1" shrinkToFit="1"/>
    </xf>
    <xf numFmtId="0" fontId="107" fillId="0" borderId="0" xfId="58" applyFont="1" applyFill="1" applyBorder="1" applyAlignment="1">
      <alignment horizontal="center" vertical="center" wrapText="1"/>
    </xf>
    <xf numFmtId="4" fontId="107" fillId="0" borderId="0" xfId="41" applyNumberFormat="1" applyFont="1" applyFill="1" applyBorder="1" applyAlignment="1">
      <alignment horizontal="center" vertical="center"/>
    </xf>
    <xf numFmtId="10" fontId="322" fillId="0" borderId="0" xfId="58" applyNumberFormat="1" applyFont="1" applyFill="1" applyBorder="1" applyAlignment="1">
      <alignment horizontal="center" vertical="center"/>
    </xf>
    <xf numFmtId="0" fontId="320" fillId="0" borderId="0" xfId="58" applyFont="1" applyFill="1" applyBorder="1" applyAlignment="1">
      <alignment horizontal="center" vertical="center" wrapText="1"/>
    </xf>
    <xf numFmtId="10" fontId="319" fillId="0" borderId="0" xfId="58" applyNumberFormat="1" applyFont="1" applyFill="1" applyBorder="1" applyAlignment="1">
      <alignment vertical="center"/>
    </xf>
    <xf numFmtId="2" fontId="322" fillId="0" borderId="0" xfId="41" applyNumberFormat="1" applyFont="1" applyFill="1" applyBorder="1" applyAlignment="1">
      <alignment horizontal="center" vertical="center"/>
    </xf>
    <xf numFmtId="268" fontId="107" fillId="0" borderId="0" xfId="38" applyNumberFormat="1" applyFont="1" applyFill="1" applyBorder="1" applyAlignment="1">
      <alignment horizontal="center"/>
    </xf>
    <xf numFmtId="1" fontId="107" fillId="0" borderId="0" xfId="58" applyNumberFormat="1" applyFont="1" applyFill="1" applyBorder="1" applyAlignment="1">
      <alignment horizontal="center"/>
    </xf>
    <xf numFmtId="1" fontId="319" fillId="0" borderId="0" xfId="58" applyNumberFormat="1" applyFont="1" applyFill="1" applyBorder="1" applyAlignment="1">
      <alignment horizontal="center"/>
    </xf>
    <xf numFmtId="2" fontId="319" fillId="0" borderId="0" xfId="58" applyNumberFormat="1" applyFont="1" applyFill="1" applyBorder="1" applyAlignment="1">
      <alignment horizontal="center"/>
    </xf>
    <xf numFmtId="227" fontId="319" fillId="0" borderId="0" xfId="58" applyNumberFormat="1" applyFont="1" applyFill="1" applyBorder="1" applyAlignment="1">
      <alignment horizontal="center"/>
    </xf>
    <xf numFmtId="3" fontId="319" fillId="0" borderId="0" xfId="58" applyNumberFormat="1" applyFont="1" applyFill="1" applyBorder="1" applyAlignment="1">
      <alignment horizontal="center"/>
    </xf>
    <xf numFmtId="0" fontId="322" fillId="0" borderId="0" xfId="58" applyFont="1" applyFill="1" applyBorder="1"/>
    <xf numFmtId="9" fontId="322" fillId="0" borderId="0" xfId="41" applyFont="1" applyFill="1" applyBorder="1" applyAlignment="1">
      <alignment horizontal="center" vertical="center"/>
    </xf>
    <xf numFmtId="287" fontId="290" fillId="0" borderId="0" xfId="41" applyNumberFormat="1" applyFont="1" applyFill="1" applyBorder="1"/>
    <xf numFmtId="3" fontId="67" fillId="0" borderId="0" xfId="58" applyNumberFormat="1" applyFont="1" applyFill="1" applyBorder="1"/>
    <xf numFmtId="288" fontId="67" fillId="0" borderId="0" xfId="41" applyNumberFormat="1" applyFont="1" applyFill="1" applyBorder="1"/>
    <xf numFmtId="14" fontId="320" fillId="0" borderId="0" xfId="58" applyNumberFormat="1" applyFont="1" applyFill="1" applyBorder="1" applyAlignment="1">
      <alignment horizontal="center" vertical="center" wrapText="1"/>
    </xf>
    <xf numFmtId="14" fontId="320" fillId="0" borderId="0" xfId="58" applyNumberFormat="1" applyFont="1" applyFill="1" applyBorder="1" applyAlignment="1">
      <alignment vertical="center" wrapText="1"/>
    </xf>
    <xf numFmtId="0" fontId="320" fillId="0" borderId="0" xfId="58" applyFont="1" applyFill="1" applyBorder="1" applyAlignment="1">
      <alignment vertical="center" wrapText="1"/>
    </xf>
    <xf numFmtId="0" fontId="107" fillId="0" borderId="0" xfId="58" applyFont="1" applyFill="1" applyBorder="1" applyAlignment="1">
      <alignment vertical="top" wrapText="1"/>
    </xf>
    <xf numFmtId="0" fontId="107" fillId="0" borderId="0" xfId="58" applyFont="1" applyFill="1" applyBorder="1" applyAlignment="1">
      <alignment vertical="top"/>
    </xf>
    <xf numFmtId="10" fontId="107" fillId="0" borderId="0" xfId="41" applyNumberFormat="1" applyFont="1" applyFill="1" applyBorder="1" applyAlignment="1">
      <alignment horizontal="center" vertical="center" wrapText="1"/>
    </xf>
    <xf numFmtId="286" fontId="107" fillId="0" borderId="0" xfId="58" applyNumberFormat="1" applyFont="1" applyFill="1" applyBorder="1" applyAlignment="1">
      <alignment vertical="center" wrapText="1"/>
    </xf>
    <xf numFmtId="0" fontId="319" fillId="0" borderId="0" xfId="58" applyFont="1" applyFill="1" applyBorder="1" applyAlignment="1">
      <alignment vertical="center" wrapText="1"/>
    </xf>
    <xf numFmtId="0" fontId="319" fillId="0" borderId="0" xfId="58" applyFont="1" applyFill="1" applyBorder="1" applyAlignment="1">
      <alignment vertical="center"/>
    </xf>
    <xf numFmtId="1" fontId="319" fillId="0" borderId="0" xfId="58" applyNumberFormat="1" applyFont="1" applyFill="1" applyBorder="1" applyAlignment="1">
      <alignment vertical="center" wrapText="1"/>
    </xf>
    <xf numFmtId="1" fontId="319" fillId="0" borderId="0" xfId="58" applyNumberFormat="1" applyFont="1" applyFill="1" applyBorder="1" applyAlignment="1">
      <alignment vertical="center"/>
    </xf>
    <xf numFmtId="9" fontId="66" fillId="0" borderId="0" xfId="41" applyFont="1" applyFill="1" applyBorder="1"/>
    <xf numFmtId="0" fontId="67" fillId="0" borderId="0" xfId="58" quotePrefix="1" applyFont="1" applyFill="1" applyBorder="1"/>
    <xf numFmtId="0" fontId="107" fillId="0" borderId="0" xfId="58" applyFont="1" applyFill="1" applyBorder="1" applyAlignment="1">
      <alignment horizontal="left" vertical="top"/>
    </xf>
    <xf numFmtId="0" fontId="107" fillId="0" borderId="0" xfId="58" applyFont="1" applyFill="1" applyBorder="1" applyAlignment="1">
      <alignment horizontal="left" vertical="top" wrapText="1"/>
    </xf>
    <xf numFmtId="1" fontId="107" fillId="0" borderId="0" xfId="58" applyNumberFormat="1" applyFont="1" applyFill="1" applyBorder="1" applyAlignment="1">
      <alignment horizontal="center" vertical="center"/>
    </xf>
    <xf numFmtId="10" fontId="67" fillId="0" borderId="0" xfId="58" applyNumberFormat="1" applyFont="1" applyFill="1" applyBorder="1"/>
    <xf numFmtId="0" fontId="0" fillId="0" borderId="0" xfId="0" applyFill="1" applyBorder="1" applyAlignment="1">
      <alignment vertical="center"/>
    </xf>
    <xf numFmtId="0" fontId="295" fillId="0" borderId="0" xfId="58" applyFont="1" applyFill="1" applyBorder="1" applyAlignment="1">
      <alignment vertical="center" wrapText="1"/>
    </xf>
    <xf numFmtId="0" fontId="295" fillId="0" borderId="0" xfId="58" applyFont="1" applyFill="1" applyBorder="1" applyAlignment="1">
      <alignment vertical="center"/>
    </xf>
    <xf numFmtId="0" fontId="107" fillId="26" borderId="89" xfId="58" applyFont="1" applyFill="1" applyBorder="1" applyAlignment="1">
      <alignment horizontal="center" vertical="center" wrapText="1" shrinkToFit="1"/>
    </xf>
    <xf numFmtId="10" fontId="119" fillId="26" borderId="0" xfId="58" applyNumberFormat="1" applyFont="1" applyFill="1" applyBorder="1" applyAlignment="1">
      <alignment horizontal="center" vertical="center"/>
    </xf>
    <xf numFmtId="175" fontId="324" fillId="32" borderId="0" xfId="0" applyNumberFormat="1" applyFont="1" applyFill="1" applyBorder="1" applyAlignment="1">
      <alignment horizontal="center" vertical="center" wrapText="1"/>
    </xf>
    <xf numFmtId="10" fontId="325" fillId="32" borderId="0" xfId="0" applyNumberFormat="1" applyFont="1" applyFill="1" applyBorder="1" applyAlignment="1">
      <alignment horizontal="centerContinuous" vertical="center" wrapText="1"/>
    </xf>
    <xf numFmtId="0" fontId="324" fillId="32" borderId="0" xfId="0" applyFont="1" applyFill="1" applyBorder="1" applyAlignment="1">
      <alignment vertical="center"/>
    </xf>
    <xf numFmtId="0" fontId="63" fillId="32" borderId="0" xfId="0" applyFont="1" applyFill="1" applyBorder="1" applyAlignment="1">
      <alignment vertical="center"/>
    </xf>
    <xf numFmtId="0" fontId="63" fillId="32" borderId="0" xfId="0" applyFont="1" applyFill="1" applyBorder="1" applyAlignment="1">
      <alignment horizontal="center" vertical="center"/>
    </xf>
    <xf numFmtId="3" fontId="63" fillId="32" borderId="0" xfId="0" applyNumberFormat="1" applyFont="1" applyFill="1" applyBorder="1" applyAlignment="1">
      <alignment horizontal="center" vertical="center"/>
    </xf>
    <xf numFmtId="283" fontId="63" fillId="32" borderId="0" xfId="38" applyNumberFormat="1" applyFont="1" applyFill="1" applyBorder="1" applyAlignment="1" applyProtection="1">
      <alignment horizontal="center" vertical="center"/>
    </xf>
    <xf numFmtId="3" fontId="324" fillId="32" borderId="0" xfId="0" applyNumberFormat="1" applyFont="1" applyFill="1" applyBorder="1" applyAlignment="1">
      <alignment horizontal="center" vertical="center"/>
    </xf>
    <xf numFmtId="283" fontId="326" fillId="32" borderId="0" xfId="38" applyNumberFormat="1" applyFont="1" applyFill="1" applyBorder="1" applyAlignment="1" applyProtection="1">
      <alignment horizontal="center" vertical="center"/>
    </xf>
    <xf numFmtId="0" fontId="324" fillId="32" borderId="0" xfId="0" applyFont="1" applyFill="1" applyBorder="1" applyAlignment="1">
      <alignment horizontal="center" vertical="center" wrapText="1"/>
    </xf>
    <xf numFmtId="283" fontId="324" fillId="32" borderId="0" xfId="0" applyNumberFormat="1" applyFont="1" applyFill="1" applyBorder="1" applyAlignment="1">
      <alignment horizontal="center" vertical="center"/>
    </xf>
    <xf numFmtId="4" fontId="63" fillId="32" borderId="0" xfId="0" applyNumberFormat="1" applyFont="1" applyFill="1" applyBorder="1" applyAlignment="1">
      <alignment horizontal="center" vertical="center"/>
    </xf>
    <xf numFmtId="283" fontId="324" fillId="32" borderId="0" xfId="38" applyNumberFormat="1" applyFont="1" applyFill="1" applyBorder="1" applyAlignment="1" applyProtection="1">
      <alignment horizontal="center" vertical="center"/>
    </xf>
    <xf numFmtId="0" fontId="327" fillId="32" borderId="0" xfId="0" applyFont="1" applyFill="1" applyBorder="1" applyAlignment="1">
      <alignment vertical="center"/>
    </xf>
    <xf numFmtId="0" fontId="327" fillId="32" borderId="0" xfId="0" applyFont="1" applyFill="1" applyBorder="1" applyAlignment="1">
      <alignment horizontal="center" vertical="center"/>
    </xf>
    <xf numFmtId="283" fontId="328" fillId="32" borderId="0" xfId="0" applyNumberFormat="1" applyFont="1" applyFill="1" applyBorder="1" applyAlignment="1">
      <alignment horizontal="center" vertical="center"/>
    </xf>
    <xf numFmtId="10" fontId="331" fillId="32" borderId="0" xfId="41" applyNumberFormat="1" applyFont="1" applyFill="1" applyBorder="1" applyAlignment="1" applyProtection="1">
      <alignment horizontal="center" vertical="center"/>
    </xf>
    <xf numFmtId="283" fontId="63" fillId="32" borderId="0" xfId="38" applyNumberFormat="1" applyFont="1" applyFill="1" applyBorder="1" applyAlignment="1" applyProtection="1">
      <alignment vertical="center"/>
    </xf>
    <xf numFmtId="10" fontId="332" fillId="32" borderId="0" xfId="41" applyNumberFormat="1" applyFont="1" applyFill="1" applyBorder="1" applyAlignment="1" applyProtection="1">
      <alignment horizontal="center" vertical="center"/>
    </xf>
    <xf numFmtId="10" fontId="329" fillId="32" borderId="0" xfId="0" applyNumberFormat="1" applyFont="1" applyFill="1" applyBorder="1" applyAlignment="1">
      <alignment horizontal="centerContinuous" vertical="center" wrapText="1"/>
    </xf>
    <xf numFmtId="0" fontId="329" fillId="32" borderId="0" xfId="0" applyFont="1" applyFill="1" applyBorder="1" applyAlignment="1">
      <alignment vertical="center"/>
    </xf>
    <xf numFmtId="0" fontId="330" fillId="32" borderId="0" xfId="0" applyFont="1" applyFill="1" applyBorder="1" applyAlignment="1">
      <alignment vertical="center"/>
    </xf>
    <xf numFmtId="0" fontId="329" fillId="32" borderId="0" xfId="0" applyFont="1" applyFill="1" applyBorder="1" applyAlignment="1">
      <alignment horizontal="center" vertical="center"/>
    </xf>
    <xf numFmtId="10" fontId="330" fillId="32" borderId="0" xfId="0" applyNumberFormat="1" applyFont="1" applyFill="1" applyBorder="1" applyAlignment="1">
      <alignment horizontal="center" vertical="center" wrapText="1"/>
    </xf>
    <xf numFmtId="0" fontId="324" fillId="32" borderId="0" xfId="0" applyFont="1" applyFill="1" applyBorder="1" applyAlignment="1">
      <alignment horizontal="center" vertical="center"/>
    </xf>
    <xf numFmtId="10" fontId="331" fillId="32" borderId="0" xfId="41" applyNumberFormat="1" applyFont="1" applyFill="1" applyBorder="1" applyAlignment="1" applyProtection="1">
      <alignment vertical="center"/>
    </xf>
    <xf numFmtId="4" fontId="324" fillId="32" borderId="0" xfId="38" applyNumberFormat="1" applyFont="1" applyFill="1" applyBorder="1" applyAlignment="1" applyProtection="1">
      <alignment horizontal="center" vertical="center" wrapText="1"/>
    </xf>
    <xf numFmtId="0" fontId="69" fillId="32" borderId="0" xfId="0" applyFont="1" applyFill="1" applyBorder="1" applyAlignment="1">
      <alignment horizontal="center" vertical="center"/>
    </xf>
    <xf numFmtId="10" fontId="332" fillId="32" borderId="0" xfId="41" applyNumberFormat="1" applyFont="1" applyFill="1" applyBorder="1" applyAlignment="1" applyProtection="1">
      <alignment vertical="center"/>
    </xf>
    <xf numFmtId="0" fontId="327" fillId="32" borderId="0" xfId="0" quotePrefix="1" applyFont="1" applyFill="1" applyBorder="1" applyAlignment="1">
      <alignment vertical="center"/>
    </xf>
    <xf numFmtId="283" fontId="63" fillId="32" borderId="0" xfId="0" applyNumberFormat="1" applyFont="1" applyFill="1" applyBorder="1" applyAlignment="1">
      <alignment vertical="center"/>
    </xf>
    <xf numFmtId="0" fontId="324" fillId="32" borderId="0" xfId="0" quotePrefix="1" applyFont="1" applyFill="1" applyBorder="1" applyAlignment="1">
      <alignment vertical="center"/>
    </xf>
    <xf numFmtId="2" fontId="96" fillId="32" borderId="34" xfId="0" applyNumberFormat="1" applyFont="1" applyFill="1" applyBorder="1" applyAlignment="1" applyProtection="1">
      <alignment horizontal="left" vertical="center"/>
    </xf>
    <xf numFmtId="0" fontId="66" fillId="47" borderId="11" xfId="58" applyFont="1" applyFill="1" applyBorder="1" applyAlignment="1">
      <alignment horizontal="center" vertical="center"/>
    </xf>
    <xf numFmtId="0" fontId="178" fillId="32" borderId="13" xfId="0" applyFont="1" applyFill="1" applyBorder="1" applyAlignment="1" applyProtection="1">
      <alignment horizontal="center" vertical="center"/>
    </xf>
    <xf numFmtId="0" fontId="107" fillId="47" borderId="53" xfId="58" applyFont="1" applyFill="1" applyBorder="1" applyAlignment="1">
      <alignment horizontal="center" vertical="center"/>
    </xf>
    <xf numFmtId="256" fontId="107" fillId="26" borderId="53" xfId="58" applyNumberFormat="1" applyFont="1" applyFill="1" applyBorder="1" applyAlignment="1" applyProtection="1">
      <alignment horizontal="center" vertical="center"/>
      <protection locked="0"/>
    </xf>
    <xf numFmtId="227" fontId="24" fillId="26" borderId="33" xfId="58" applyNumberFormat="1" applyFont="1" applyFill="1" applyBorder="1" applyAlignment="1">
      <alignment horizontal="center"/>
    </xf>
    <xf numFmtId="2" fontId="107" fillId="32" borderId="115" xfId="58" applyNumberFormat="1" applyFont="1" applyFill="1" applyBorder="1" applyAlignment="1">
      <alignment horizontal="center" vertical="center" shrinkToFit="1"/>
    </xf>
    <xf numFmtId="2" fontId="107" fillId="32" borderId="115" xfId="58" applyNumberFormat="1" applyFont="1" applyFill="1" applyBorder="1" applyAlignment="1">
      <alignment horizontal="center" vertical="center"/>
    </xf>
    <xf numFmtId="2" fontId="107" fillId="32" borderId="45" xfId="58" applyNumberFormat="1" applyFont="1" applyFill="1" applyBorder="1" applyAlignment="1">
      <alignment horizontal="center" vertical="center"/>
    </xf>
    <xf numFmtId="2" fontId="107" fillId="26" borderId="45" xfId="58" applyNumberFormat="1" applyFont="1" applyFill="1" applyBorder="1" applyAlignment="1">
      <alignment horizontal="center" vertical="center"/>
    </xf>
    <xf numFmtId="186" fontId="223" fillId="32" borderId="26" xfId="0" applyNumberFormat="1" applyFont="1" applyFill="1" applyBorder="1" applyAlignment="1">
      <alignment horizontal="center" vertical="center" wrapText="1"/>
    </xf>
    <xf numFmtId="0" fontId="139" fillId="36" borderId="12" xfId="58" applyFont="1" applyFill="1" applyBorder="1" applyAlignment="1" applyProtection="1">
      <alignment horizontal="center" vertical="center"/>
    </xf>
    <xf numFmtId="219" fontId="96" fillId="36" borderId="12" xfId="58" applyNumberFormat="1" applyFont="1" applyFill="1" applyBorder="1" applyProtection="1"/>
    <xf numFmtId="262" fontId="96" fillId="35" borderId="29" xfId="32" applyNumberFormat="1" applyFont="1" applyFill="1" applyBorder="1" applyAlignment="1" applyProtection="1">
      <alignment vertical="center"/>
      <protection locked="0"/>
    </xf>
    <xf numFmtId="219" fontId="96" fillId="35" borderId="29" xfId="58" applyNumberFormat="1" applyFont="1" applyFill="1" applyBorder="1" applyAlignment="1" applyProtection="1">
      <alignment vertical="center"/>
      <protection locked="0"/>
    </xf>
    <xf numFmtId="245" fontId="96" fillId="34" borderId="29" xfId="58" applyNumberFormat="1" applyFont="1" applyFill="1" applyBorder="1" applyProtection="1"/>
    <xf numFmtId="10" fontId="322" fillId="40" borderId="33" xfId="41" applyNumberFormat="1" applyFont="1" applyFill="1" applyBorder="1" applyAlignment="1">
      <alignment horizontal="center" vertical="center"/>
    </xf>
    <xf numFmtId="0" fontId="295" fillId="35" borderId="33" xfId="58" applyFont="1" applyFill="1" applyBorder="1" applyAlignment="1">
      <alignment horizontal="center" vertical="top"/>
    </xf>
    <xf numFmtId="0" fontId="333" fillId="0" borderId="0" xfId="101" applyFont="1" applyAlignment="1" applyProtection="1">
      <alignment vertical="center"/>
    </xf>
    <xf numFmtId="0" fontId="333" fillId="0" borderId="41" xfId="101" applyFont="1" applyBorder="1" applyAlignment="1" applyProtection="1">
      <alignment vertical="center"/>
    </xf>
    <xf numFmtId="0" fontId="333" fillId="0" borderId="40" xfId="101" applyFont="1" applyBorder="1" applyAlignment="1" applyProtection="1">
      <alignment vertical="center"/>
    </xf>
    <xf numFmtId="0" fontId="333" fillId="0" borderId="39" xfId="101" applyFont="1" applyBorder="1" applyAlignment="1" applyProtection="1">
      <alignment vertical="center"/>
    </xf>
    <xf numFmtId="0" fontId="333" fillId="0" borderId="38" xfId="101" applyFont="1" applyBorder="1" applyAlignment="1" applyProtection="1">
      <alignment vertical="center"/>
    </xf>
    <xf numFmtId="0" fontId="333" fillId="0" borderId="0" xfId="101" applyFont="1" applyBorder="1" applyAlignment="1" applyProtection="1">
      <alignment vertical="center"/>
    </xf>
    <xf numFmtId="0" fontId="333" fillId="0" borderId="37" xfId="101" applyFont="1" applyBorder="1" applyAlignment="1" applyProtection="1">
      <alignment vertical="center"/>
    </xf>
    <xf numFmtId="177" fontId="333" fillId="32" borderId="13" xfId="101" applyNumberFormat="1" applyFont="1" applyFill="1" applyBorder="1" applyAlignment="1" applyProtection="1">
      <alignment vertical="center"/>
    </xf>
    <xf numFmtId="177" fontId="333" fillId="40" borderId="13" xfId="101" applyNumberFormat="1" applyFont="1" applyFill="1" applyBorder="1" applyAlignment="1" applyProtection="1">
      <alignment vertical="center"/>
    </xf>
    <xf numFmtId="177" fontId="15" fillId="0" borderId="0" xfId="102" applyNumberFormat="1" applyFont="1" applyFill="1" applyBorder="1" applyAlignment="1" applyProtection="1">
      <alignment vertical="center"/>
    </xf>
    <xf numFmtId="1" fontId="15" fillId="32" borderId="0" xfId="102" applyNumberFormat="1" applyFont="1" applyFill="1" applyBorder="1" applyAlignment="1" applyProtection="1">
      <alignment vertical="center"/>
    </xf>
    <xf numFmtId="289" fontId="334" fillId="0" borderId="0" xfId="103" applyNumberFormat="1" applyFont="1" applyFill="1" applyBorder="1" applyAlignment="1" applyProtection="1">
      <alignment horizontal="center" vertical="center"/>
    </xf>
    <xf numFmtId="177" fontId="22" fillId="32" borderId="235" xfId="101" applyNumberFormat="1" applyFont="1" applyFill="1" applyBorder="1" applyAlignment="1" applyProtection="1">
      <alignment vertical="center"/>
    </xf>
    <xf numFmtId="0" fontId="80" fillId="0" borderId="37" xfId="101" applyFont="1" applyBorder="1" applyAlignment="1" applyProtection="1">
      <alignment vertical="center"/>
    </xf>
    <xf numFmtId="0" fontId="22" fillId="32" borderId="0" xfId="101" applyNumberFormat="1" applyFont="1" applyFill="1" applyBorder="1" applyAlignment="1" applyProtection="1">
      <alignment vertical="center"/>
    </xf>
    <xf numFmtId="0" fontId="15" fillId="32" borderId="0" xfId="101" applyFont="1" applyFill="1" applyBorder="1" applyAlignment="1" applyProtection="1">
      <alignment horizontal="right" vertical="center"/>
    </xf>
    <xf numFmtId="177" fontId="333" fillId="40" borderId="51" xfId="101" applyNumberFormat="1" applyFont="1" applyFill="1" applyBorder="1" applyAlignment="1" applyProtection="1">
      <alignment vertical="center"/>
    </xf>
    <xf numFmtId="0" fontId="20" fillId="32" borderId="0" xfId="101" applyFont="1" applyFill="1" applyBorder="1" applyAlignment="1" applyProtection="1">
      <alignment vertical="center"/>
    </xf>
    <xf numFmtId="177" fontId="22" fillId="63" borderId="41" xfId="101" applyNumberFormat="1" applyFont="1" applyFill="1" applyBorder="1" applyAlignment="1" applyProtection="1">
      <alignment vertical="center"/>
    </xf>
    <xf numFmtId="0" fontId="20" fillId="63" borderId="40" xfId="101" applyFont="1" applyFill="1" applyBorder="1" applyAlignment="1" applyProtection="1">
      <alignment vertical="center"/>
    </xf>
    <xf numFmtId="0" fontId="20" fillId="63" borderId="39" xfId="101" applyFont="1" applyFill="1" applyBorder="1" applyAlignment="1" applyProtection="1">
      <alignment vertical="center"/>
    </xf>
    <xf numFmtId="0" fontId="20" fillId="63" borderId="52" xfId="101" applyFont="1" applyFill="1" applyBorder="1" applyAlignment="1" applyProtection="1">
      <alignment vertical="center"/>
    </xf>
    <xf numFmtId="0" fontId="22" fillId="63" borderId="36" xfId="101" applyFont="1" applyFill="1" applyBorder="1" applyAlignment="1" applyProtection="1">
      <alignment vertical="center"/>
    </xf>
    <xf numFmtId="0" fontId="22" fillId="63" borderId="35" xfId="101" applyFont="1" applyFill="1" applyBorder="1" applyAlignment="1" applyProtection="1">
      <alignment vertical="center"/>
    </xf>
    <xf numFmtId="0" fontId="20" fillId="0" borderId="0" xfId="101" applyFont="1" applyBorder="1" applyAlignment="1" applyProtection="1">
      <alignment vertical="center"/>
    </xf>
    <xf numFmtId="0" fontId="335" fillId="0" borderId="37" xfId="101" applyFont="1" applyBorder="1" applyAlignment="1" applyProtection="1">
      <alignment vertical="center"/>
    </xf>
    <xf numFmtId="0" fontId="11" fillId="0" borderId="38" xfId="101" applyFont="1" applyBorder="1" applyAlignment="1" applyProtection="1">
      <alignment horizontal="centerContinuous" vertical="center"/>
    </xf>
    <xf numFmtId="177" fontId="22" fillId="63" borderId="13" xfId="101" applyNumberFormat="1" applyFont="1" applyFill="1" applyBorder="1" applyAlignment="1" applyProtection="1">
      <alignment vertical="center"/>
    </xf>
    <xf numFmtId="290" fontId="15" fillId="0" borderId="15" xfId="101" applyNumberFormat="1" applyFont="1" applyFill="1" applyBorder="1" applyAlignment="1" applyProtection="1">
      <alignment horizontal="right" vertical="center"/>
    </xf>
    <xf numFmtId="0" fontId="20" fillId="0" borderId="12" xfId="101" applyFont="1" applyBorder="1" applyAlignment="1" applyProtection="1">
      <alignment vertical="center"/>
    </xf>
    <xf numFmtId="0" fontId="20" fillId="0" borderId="15" xfId="101" applyFont="1" applyBorder="1" applyAlignment="1" applyProtection="1">
      <alignment vertical="center"/>
    </xf>
    <xf numFmtId="0" fontId="20" fillId="0" borderId="44" xfId="101" applyFont="1" applyBorder="1" applyAlignment="1" applyProtection="1">
      <alignment vertical="center"/>
    </xf>
    <xf numFmtId="10" fontId="20" fillId="0" borderId="13" xfId="104" applyNumberFormat="1" applyFont="1" applyBorder="1" applyAlignment="1" applyProtection="1">
      <alignment vertical="center"/>
    </xf>
    <xf numFmtId="0" fontId="20" fillId="0" borderId="115" xfId="101" applyFont="1" applyFill="1" applyBorder="1" applyAlignment="1" applyProtection="1">
      <alignment vertical="center"/>
    </xf>
    <xf numFmtId="0" fontId="20" fillId="0" borderId="22" xfId="101" applyFont="1" applyBorder="1" applyAlignment="1" applyProtection="1">
      <alignment vertical="center"/>
    </xf>
    <xf numFmtId="177" fontId="20" fillId="0" borderId="115" xfId="101" applyNumberFormat="1" applyFont="1" applyBorder="1" applyAlignment="1" applyProtection="1">
      <alignment vertical="center"/>
    </xf>
    <xf numFmtId="0" fontId="20" fillId="0" borderId="34" xfId="101" applyFont="1" applyBorder="1" applyAlignment="1" applyProtection="1">
      <alignment vertical="center"/>
    </xf>
    <xf numFmtId="10" fontId="20" fillId="0" borderId="43" xfId="104" applyNumberFormat="1" applyFont="1" applyBorder="1" applyAlignment="1" applyProtection="1">
      <alignment vertical="center"/>
    </xf>
    <xf numFmtId="0" fontId="20" fillId="0" borderId="17" xfId="101" applyFont="1" applyBorder="1" applyAlignment="1" applyProtection="1">
      <alignment vertical="center"/>
    </xf>
    <xf numFmtId="0" fontId="20" fillId="0" borderId="43" xfId="101" applyFont="1" applyBorder="1" applyAlignment="1" applyProtection="1">
      <alignment vertical="center"/>
    </xf>
    <xf numFmtId="177" fontId="22" fillId="63" borderId="46" xfId="101" applyNumberFormat="1" applyFont="1" applyFill="1" applyBorder="1" applyAlignment="1" applyProtection="1">
      <alignment vertical="center"/>
    </xf>
    <xf numFmtId="2" fontId="22" fillId="0" borderId="46" xfId="101" applyNumberFormat="1" applyFont="1" applyBorder="1" applyAlignment="1" applyProtection="1">
      <alignment vertical="center"/>
    </xf>
    <xf numFmtId="0" fontId="20" fillId="0" borderId="46" xfId="101" applyFont="1" applyBorder="1" applyAlignment="1" applyProtection="1">
      <alignment vertical="center"/>
    </xf>
    <xf numFmtId="0" fontId="20" fillId="0" borderId="45" xfId="101" applyFont="1" applyBorder="1" applyAlignment="1" applyProtection="1">
      <alignment vertical="center"/>
    </xf>
    <xf numFmtId="177" fontId="20" fillId="0" borderId="32" xfId="102" applyNumberFormat="1" applyFont="1" applyFill="1" applyBorder="1" applyAlignment="1" applyProtection="1">
      <alignment vertical="center"/>
    </xf>
    <xf numFmtId="2" fontId="20" fillId="40" borderId="51" xfId="102" applyNumberFormat="1" applyFont="1" applyFill="1" applyBorder="1" applyAlignment="1" applyProtection="1">
      <alignment vertical="center"/>
      <protection locked="0"/>
    </xf>
    <xf numFmtId="289" fontId="336" fillId="0" borderId="51" xfId="103" applyNumberFormat="1" applyFont="1" applyFill="1" applyBorder="1" applyAlignment="1" applyProtection="1">
      <alignment horizontal="center" vertical="center"/>
    </xf>
    <xf numFmtId="289" fontId="22" fillId="0" borderId="50" xfId="103" applyNumberFormat="1" applyFont="1" applyFill="1" applyBorder="1" applyAlignment="1" applyProtection="1">
      <alignment horizontal="center" vertical="center"/>
    </xf>
    <xf numFmtId="177" fontId="20" fillId="0" borderId="29" xfId="102" applyNumberFormat="1" applyFont="1" applyFill="1" applyBorder="1" applyAlignment="1" applyProtection="1">
      <alignment vertical="center"/>
    </xf>
    <xf numFmtId="2" fontId="20" fillId="40" borderId="13" xfId="102" applyNumberFormat="1" applyFont="1" applyFill="1" applyBorder="1" applyAlignment="1" applyProtection="1">
      <alignment vertical="center"/>
      <protection locked="0"/>
    </xf>
    <xf numFmtId="289" fontId="336" fillId="0" borderId="13" xfId="103" applyNumberFormat="1" applyFont="1" applyFill="1" applyBorder="1" applyAlignment="1" applyProtection="1">
      <alignment horizontal="center" vertical="center"/>
    </xf>
    <xf numFmtId="289" fontId="22" fillId="0" borderId="49" xfId="103" applyNumberFormat="1" applyFont="1" applyFill="1" applyBorder="1" applyAlignment="1" applyProtection="1">
      <alignment horizontal="center" vertical="center"/>
    </xf>
    <xf numFmtId="177" fontId="20" fillId="0" borderId="26" xfId="102" applyNumberFormat="1" applyFont="1" applyFill="1" applyBorder="1" applyAlignment="1" applyProtection="1">
      <alignment vertical="center"/>
    </xf>
    <xf numFmtId="2" fontId="20" fillId="40" borderId="48" xfId="102" applyNumberFormat="1" applyFont="1" applyFill="1" applyBorder="1" applyAlignment="1" applyProtection="1">
      <alignment vertical="center"/>
      <protection locked="0"/>
    </xf>
    <xf numFmtId="289" fontId="336" fillId="0" borderId="48" xfId="103" applyNumberFormat="1" applyFont="1" applyFill="1" applyBorder="1" applyAlignment="1" applyProtection="1">
      <alignment horizontal="center" vertical="center"/>
    </xf>
    <xf numFmtId="289" fontId="22" fillId="0" borderId="25" xfId="103" applyNumberFormat="1" applyFont="1" applyFill="1" applyBorder="1" applyAlignment="1" applyProtection="1">
      <alignment horizontal="center" vertical="center"/>
    </xf>
    <xf numFmtId="0" fontId="22" fillId="0" borderId="34" xfId="103" applyFont="1" applyFill="1" applyBorder="1" applyAlignment="1" applyProtection="1">
      <alignment horizontal="center" vertical="center" wrapText="1"/>
    </xf>
    <xf numFmtId="0" fontId="22" fillId="0" borderId="58" xfId="103" applyFont="1" applyFill="1" applyBorder="1" applyAlignment="1" applyProtection="1">
      <alignment horizontal="center" vertical="center" wrapText="1"/>
    </xf>
    <xf numFmtId="0" fontId="333" fillId="0" borderId="43" xfId="101" applyFont="1" applyBorder="1" applyAlignment="1" applyProtection="1">
      <alignment vertical="center"/>
    </xf>
    <xf numFmtId="0" fontId="15" fillId="0" borderId="0" xfId="101" applyFont="1" applyBorder="1" applyAlignment="1" applyProtection="1">
      <alignment vertical="center"/>
    </xf>
    <xf numFmtId="1" fontId="22" fillId="40" borderId="33" xfId="102" applyNumberFormat="1" applyFont="1" applyFill="1" applyBorder="1" applyAlignment="1" applyProtection="1">
      <alignment horizontal="center" vertical="center"/>
      <protection locked="0"/>
    </xf>
    <xf numFmtId="289" fontId="24" fillId="0" borderId="90" xfId="103" applyNumberFormat="1" applyFont="1" applyFill="1" applyBorder="1" applyAlignment="1" applyProtection="1">
      <alignment horizontal="right" vertical="center"/>
    </xf>
    <xf numFmtId="0" fontId="333" fillId="0" borderId="53" xfId="101" applyFont="1" applyBorder="1" applyAlignment="1" applyProtection="1">
      <alignment vertical="center"/>
    </xf>
    <xf numFmtId="0" fontId="333" fillId="0" borderId="36" xfId="101" applyFont="1" applyBorder="1" applyAlignment="1" applyProtection="1">
      <alignment vertical="center"/>
    </xf>
    <xf numFmtId="0" fontId="337" fillId="0" borderId="36" xfId="101" applyFont="1" applyBorder="1" applyAlignment="1" applyProtection="1">
      <alignment vertical="center"/>
    </xf>
    <xf numFmtId="0" fontId="335" fillId="0" borderId="59" xfId="101" applyFont="1" applyBorder="1" applyAlignment="1" applyProtection="1">
      <alignment vertical="center"/>
    </xf>
    <xf numFmtId="0" fontId="22" fillId="0" borderId="54" xfId="101" applyFont="1" applyBorder="1" applyAlignment="1" applyProtection="1">
      <alignment vertical="center"/>
    </xf>
    <xf numFmtId="0" fontId="335" fillId="0" borderId="54" xfId="101" applyFont="1" applyBorder="1" applyAlignment="1" applyProtection="1">
      <alignment vertical="center"/>
    </xf>
    <xf numFmtId="0" fontId="22" fillId="0" borderId="53" xfId="101" applyFont="1" applyBorder="1" applyAlignment="1" applyProtection="1">
      <alignment vertical="center"/>
    </xf>
    <xf numFmtId="0" fontId="20" fillId="0" borderId="0" xfId="101" applyFont="1" applyBorder="1" applyAlignment="1" applyProtection="1">
      <alignment horizontal="right" vertical="center"/>
    </xf>
    <xf numFmtId="0" fontId="20" fillId="0" borderId="0" xfId="101" applyFont="1" applyBorder="1" applyAlignment="1" applyProtection="1">
      <alignment horizontal="left" vertical="center"/>
    </xf>
    <xf numFmtId="289" fontId="336" fillId="63" borderId="32" xfId="103" applyNumberFormat="1" applyFont="1" applyFill="1" applyBorder="1" applyAlignment="1" applyProtection="1">
      <alignment horizontal="center" vertical="center"/>
    </xf>
    <xf numFmtId="282" fontId="20" fillId="0" borderId="51" xfId="102" applyNumberFormat="1" applyFont="1" applyFill="1" applyBorder="1" applyAlignment="1" applyProtection="1">
      <alignment vertical="center"/>
    </xf>
    <xf numFmtId="282" fontId="15" fillId="0" borderId="51" xfId="102" applyNumberFormat="1" applyFont="1" applyFill="1" applyBorder="1" applyAlignment="1" applyProtection="1">
      <alignment vertical="center"/>
    </xf>
    <xf numFmtId="289" fontId="336" fillId="63" borderId="29" xfId="103" applyNumberFormat="1" applyFont="1" applyFill="1" applyBorder="1" applyAlignment="1" applyProtection="1">
      <alignment horizontal="center" vertical="center"/>
    </xf>
    <xf numFmtId="282" fontId="20" fillId="0" borderId="13" xfId="102" applyNumberFormat="1" applyFont="1" applyFill="1" applyBorder="1" applyAlignment="1" applyProtection="1">
      <alignment vertical="center"/>
    </xf>
    <xf numFmtId="282" fontId="15" fillId="0" borderId="13" xfId="102" applyNumberFormat="1" applyFont="1" applyFill="1" applyBorder="1" applyAlignment="1" applyProtection="1">
      <alignment vertical="center"/>
    </xf>
    <xf numFmtId="289" fontId="336" fillId="63" borderId="26" xfId="103" applyNumberFormat="1" applyFont="1" applyFill="1" applyBorder="1" applyAlignment="1" applyProtection="1">
      <alignment horizontal="center" vertical="center"/>
    </xf>
    <xf numFmtId="282" fontId="20" fillId="0" borderId="48" xfId="102" applyNumberFormat="1" applyFont="1" applyFill="1" applyBorder="1" applyAlignment="1" applyProtection="1">
      <alignment vertical="center"/>
    </xf>
    <xf numFmtId="282" fontId="15" fillId="0" borderId="48" xfId="102" applyNumberFormat="1" applyFont="1" applyFill="1" applyBorder="1" applyAlignment="1" applyProtection="1">
      <alignment vertical="center"/>
    </xf>
    <xf numFmtId="0" fontId="20" fillId="0" borderId="0" xfId="101" applyFont="1" applyAlignment="1" applyProtection="1">
      <alignment vertical="center"/>
    </xf>
    <xf numFmtId="0" fontId="20" fillId="0" borderId="38" xfId="101" applyFont="1" applyBorder="1" applyAlignment="1" applyProtection="1">
      <alignment vertical="center"/>
    </xf>
    <xf numFmtId="10" fontId="336" fillId="0" borderId="34" xfId="104" applyNumberFormat="1" applyFont="1" applyFill="1" applyBorder="1" applyAlignment="1" applyProtection="1">
      <alignment horizontal="center" vertical="center"/>
    </xf>
    <xf numFmtId="0" fontId="20" fillId="0" borderId="22" xfId="101" applyFont="1" applyBorder="1" applyAlignment="1" applyProtection="1">
      <alignment vertical="center" wrapText="1"/>
    </xf>
    <xf numFmtId="0" fontId="20" fillId="0" borderId="37" xfId="101" applyFont="1" applyBorder="1" applyAlignment="1" applyProtection="1">
      <alignment vertical="center"/>
    </xf>
    <xf numFmtId="0" fontId="22" fillId="63" borderId="27" xfId="103" applyFont="1" applyFill="1" applyBorder="1" applyAlignment="1" applyProtection="1">
      <alignment horizontal="center" vertical="center" wrapText="1"/>
    </xf>
    <xf numFmtId="0" fontId="22" fillId="0" borderId="85" xfId="103" applyFont="1" applyFill="1" applyBorder="1" applyAlignment="1" applyProtection="1">
      <alignment horizontal="center" vertical="center" wrapText="1"/>
    </xf>
    <xf numFmtId="0" fontId="22" fillId="0" borderId="22" xfId="101" applyFont="1" applyBorder="1" applyAlignment="1" applyProtection="1">
      <alignment horizontal="center" vertical="center" wrapText="1"/>
    </xf>
    <xf numFmtId="0" fontId="20" fillId="0" borderId="59" xfId="101" applyFont="1" applyBorder="1" applyAlignment="1" applyProtection="1">
      <alignment vertical="center"/>
    </xf>
    <xf numFmtId="0" fontId="20" fillId="0" borderId="54" xfId="101" applyFont="1" applyBorder="1" applyAlignment="1" applyProtection="1">
      <alignment vertical="center"/>
    </xf>
    <xf numFmtId="10" fontId="22" fillId="0" borderId="38" xfId="101" applyNumberFormat="1" applyFont="1" applyBorder="1" applyAlignment="1" applyProtection="1">
      <alignment vertical="center"/>
    </xf>
    <xf numFmtId="177" fontId="22" fillId="0" borderId="0" xfId="101" applyNumberFormat="1" applyFont="1" applyBorder="1" applyAlignment="1" applyProtection="1">
      <alignment vertical="center"/>
    </xf>
    <xf numFmtId="0" fontId="15" fillId="0" borderId="0" xfId="101" applyFont="1" applyBorder="1" applyAlignment="1" applyProtection="1">
      <alignment horizontal="left" vertical="center"/>
    </xf>
    <xf numFmtId="177" fontId="20" fillId="0" borderId="143" xfId="101" applyNumberFormat="1" applyFont="1" applyBorder="1" applyAlignment="1" applyProtection="1">
      <alignment vertical="center"/>
    </xf>
    <xf numFmtId="0" fontId="22" fillId="0" borderId="37" xfId="101" applyFont="1" applyBorder="1" applyAlignment="1" applyProtection="1">
      <alignment vertical="center"/>
    </xf>
    <xf numFmtId="10" fontId="336" fillId="0" borderId="38" xfId="104" applyNumberFormat="1" applyFont="1" applyFill="1" applyBorder="1" applyAlignment="1" applyProtection="1">
      <alignment horizontal="center" vertical="center"/>
    </xf>
    <xf numFmtId="291" fontId="20" fillId="0" borderId="0" xfId="101" applyNumberFormat="1" applyFont="1" applyBorder="1" applyAlignment="1" applyProtection="1">
      <alignment vertical="center"/>
    </xf>
    <xf numFmtId="177" fontId="20" fillId="0" borderId="36" xfId="101" applyNumberFormat="1" applyFont="1" applyBorder="1" applyAlignment="1" applyProtection="1">
      <alignment vertical="center"/>
    </xf>
    <xf numFmtId="0" fontId="15" fillId="0" borderId="0" xfId="101" applyFont="1" applyBorder="1" applyAlignment="1" applyProtection="1">
      <alignment horizontal="right" vertical="center"/>
    </xf>
    <xf numFmtId="177" fontId="15" fillId="0" borderId="240" xfId="102" applyNumberFormat="1" applyFont="1" applyFill="1" applyBorder="1" applyAlignment="1" applyProtection="1">
      <alignment vertical="center"/>
    </xf>
    <xf numFmtId="4" fontId="15" fillId="0" borderId="51" xfId="101" applyNumberFormat="1" applyFont="1" applyBorder="1" applyAlignment="1" applyProtection="1">
      <alignment horizontal="center" vertical="center"/>
    </xf>
    <xf numFmtId="282" fontId="15" fillId="0" borderId="82" xfId="102" applyNumberFormat="1" applyFont="1" applyFill="1" applyBorder="1" applyAlignment="1" applyProtection="1">
      <alignment vertical="center"/>
    </xf>
    <xf numFmtId="289" fontId="14" fillId="0" borderId="50" xfId="103" applyNumberFormat="1" applyFont="1" applyFill="1" applyBorder="1" applyAlignment="1" applyProtection="1">
      <alignment horizontal="center" vertical="center"/>
    </xf>
    <xf numFmtId="177" fontId="15" fillId="0" borderId="105" xfId="102" applyNumberFormat="1" applyFont="1" applyFill="1" applyBorder="1" applyAlignment="1" applyProtection="1">
      <alignment vertical="center"/>
    </xf>
    <xf numFmtId="4" fontId="15" fillId="0" borderId="13" xfId="101" applyNumberFormat="1" applyFont="1" applyBorder="1" applyAlignment="1" applyProtection="1">
      <alignment horizontal="center" vertical="center"/>
    </xf>
    <xf numFmtId="282" fontId="15" fillId="0" borderId="10" xfId="102" applyNumberFormat="1" applyFont="1" applyFill="1" applyBorder="1" applyAlignment="1" applyProtection="1">
      <alignment vertical="center"/>
    </xf>
    <xf numFmtId="289" fontId="14" fillId="0" borderId="49" xfId="103" applyNumberFormat="1" applyFont="1" applyFill="1" applyBorder="1" applyAlignment="1" applyProtection="1">
      <alignment horizontal="center" vertical="center"/>
    </xf>
    <xf numFmtId="177" fontId="15" fillId="0" borderId="92" xfId="102" applyNumberFormat="1" applyFont="1" applyFill="1" applyBorder="1" applyAlignment="1" applyProtection="1">
      <alignment vertical="center"/>
    </xf>
    <xf numFmtId="4" fontId="15" fillId="0" borderId="48" xfId="101" applyNumberFormat="1" applyFont="1" applyBorder="1" applyAlignment="1" applyProtection="1">
      <alignment horizontal="center" vertical="center"/>
    </xf>
    <xf numFmtId="282" fontId="15" fillId="0" borderId="81" xfId="102" applyNumberFormat="1" applyFont="1" applyFill="1" applyBorder="1" applyAlignment="1" applyProtection="1">
      <alignment vertical="center"/>
    </xf>
    <xf numFmtId="289" fontId="14" fillId="0" borderId="25" xfId="103" applyNumberFormat="1" applyFont="1" applyFill="1" applyBorder="1" applyAlignment="1" applyProtection="1">
      <alignment horizontal="center" vertical="center"/>
    </xf>
    <xf numFmtId="0" fontId="29" fillId="0" borderId="63" xfId="101" applyFont="1" applyBorder="1" applyAlignment="1" applyProtection="1">
      <alignment horizontal="center" vertical="center" wrapText="1"/>
    </xf>
    <xf numFmtId="0" fontId="29" fillId="0" borderId="93" xfId="103" applyFont="1" applyFill="1" applyBorder="1" applyAlignment="1" applyProtection="1">
      <alignment horizontal="center" vertical="center" wrapText="1"/>
    </xf>
    <xf numFmtId="0" fontId="29" fillId="0" borderId="23" xfId="103" applyFont="1" applyFill="1" applyBorder="1" applyAlignment="1" applyProtection="1">
      <alignment horizontal="center" vertical="center" wrapText="1"/>
    </xf>
    <xf numFmtId="0" fontId="20" fillId="0" borderId="0" xfId="101" applyFont="1" applyAlignment="1" applyProtection="1">
      <alignment horizontal="left" vertical="center"/>
    </xf>
    <xf numFmtId="0" fontId="20" fillId="0" borderId="38" xfId="101" applyFont="1" applyBorder="1" applyAlignment="1" applyProtection="1">
      <alignment horizontal="left" vertical="center"/>
    </xf>
    <xf numFmtId="0" fontId="22" fillId="0" borderId="0" xfId="101" applyFont="1" applyBorder="1" applyAlignment="1" applyProtection="1">
      <alignment horizontal="left" vertical="center"/>
    </xf>
    <xf numFmtId="0" fontId="24" fillId="0" borderId="0" xfId="101" applyFont="1" applyBorder="1" applyAlignment="1" applyProtection="1">
      <alignment horizontal="left" vertical="center"/>
    </xf>
    <xf numFmtId="0" fontId="20" fillId="0" borderId="37" xfId="101" applyFont="1" applyBorder="1" applyAlignment="1" applyProtection="1">
      <alignment horizontal="left" vertical="center"/>
    </xf>
    <xf numFmtId="0" fontId="15" fillId="0" borderId="38" xfId="101" applyFont="1" applyBorder="1" applyAlignment="1" applyProtection="1">
      <alignment vertical="center"/>
    </xf>
    <xf numFmtId="0" fontId="15" fillId="0" borderId="0" xfId="101" applyFont="1" applyBorder="1" applyAlignment="1" applyProtection="1">
      <alignment horizontal="center" vertical="center"/>
    </xf>
    <xf numFmtId="10" fontId="15" fillId="0" borderId="0" xfId="101" applyNumberFormat="1" applyFont="1" applyBorder="1" applyAlignment="1" applyProtection="1">
      <alignment vertical="center"/>
    </xf>
    <xf numFmtId="177" fontId="15" fillId="0" borderId="0" xfId="101" applyNumberFormat="1" applyFont="1" applyBorder="1" applyAlignment="1" applyProtection="1">
      <alignment vertical="center"/>
    </xf>
    <xf numFmtId="16" fontId="19" fillId="0" borderId="37" xfId="101" quotePrefix="1" applyNumberFormat="1" applyFont="1" applyBorder="1" applyAlignment="1" applyProtection="1">
      <alignment horizontal="right" vertical="center"/>
    </xf>
    <xf numFmtId="10" fontId="15" fillId="0" borderId="0" xfId="104" applyNumberFormat="1" applyFont="1" applyBorder="1" applyAlignment="1" applyProtection="1">
      <alignment vertical="center"/>
    </xf>
    <xf numFmtId="10" fontId="15" fillId="40" borderId="0" xfId="101" quotePrefix="1" applyNumberFormat="1" applyFont="1" applyFill="1" applyBorder="1" applyAlignment="1" applyProtection="1">
      <alignment vertical="center"/>
      <protection locked="0"/>
    </xf>
    <xf numFmtId="0" fontId="22" fillId="0" borderId="59" xfId="101" applyFont="1" applyBorder="1" applyAlignment="1" applyProtection="1">
      <alignment vertical="center"/>
    </xf>
    <xf numFmtId="177" fontId="24" fillId="0" borderId="143" xfId="102" applyNumberFormat="1" applyFont="1" applyFill="1" applyBorder="1" applyAlignment="1" applyProtection="1">
      <alignment vertical="center"/>
    </xf>
    <xf numFmtId="177" fontId="35" fillId="40" borderId="0" xfId="102" applyNumberFormat="1" applyFont="1" applyFill="1" applyBorder="1" applyAlignment="1" applyProtection="1">
      <alignment vertical="center"/>
      <protection locked="0"/>
    </xf>
    <xf numFmtId="177" fontId="26" fillId="40" borderId="0" xfId="102" applyNumberFormat="1" applyFont="1" applyFill="1" applyBorder="1" applyAlignment="1" applyProtection="1">
      <alignment vertical="center"/>
      <protection locked="0"/>
    </xf>
    <xf numFmtId="10" fontId="20" fillId="0" borderId="0" xfId="104" applyNumberFormat="1" applyFont="1" applyBorder="1" applyAlignment="1" applyProtection="1">
      <alignment vertical="center"/>
    </xf>
    <xf numFmtId="0" fontId="26" fillId="0" borderId="0" xfId="101" applyFont="1" applyBorder="1" applyAlignment="1" applyProtection="1">
      <alignment vertical="center"/>
    </xf>
    <xf numFmtId="3" fontId="26" fillId="0" borderId="0" xfId="101" applyNumberFormat="1" applyFont="1" applyFill="1" applyBorder="1" applyAlignment="1" applyProtection="1">
      <alignment vertical="center"/>
    </xf>
    <xf numFmtId="2" fontId="24" fillId="0" borderId="143" xfId="101" applyNumberFormat="1" applyFont="1" applyBorder="1" applyAlignment="1" applyProtection="1">
      <alignment vertical="center"/>
    </xf>
    <xf numFmtId="4" fontId="35" fillId="40" borderId="0" xfId="101" applyNumberFormat="1" applyFont="1" applyFill="1" applyBorder="1" applyAlignment="1" applyProtection="1">
      <alignment vertical="center"/>
      <protection locked="0"/>
    </xf>
    <xf numFmtId="4" fontId="26" fillId="40" borderId="0" xfId="101" applyNumberFormat="1" applyFont="1" applyFill="1" applyBorder="1" applyAlignment="1" applyProtection="1">
      <alignment vertical="center"/>
      <protection locked="0"/>
    </xf>
    <xf numFmtId="0" fontId="20" fillId="0" borderId="37" xfId="101" quotePrefix="1" applyFont="1" applyBorder="1" applyAlignment="1" applyProtection="1">
      <alignment vertical="center"/>
    </xf>
    <xf numFmtId="0" fontId="339" fillId="0" borderId="37" xfId="101" applyFont="1" applyBorder="1" applyAlignment="1" applyProtection="1">
      <alignment vertical="center"/>
    </xf>
    <xf numFmtId="0" fontId="22" fillId="0" borderId="0" xfId="101" applyFont="1" applyBorder="1" applyAlignment="1" applyProtection="1">
      <alignment vertical="center"/>
    </xf>
    <xf numFmtId="15" fontId="20" fillId="0" borderId="37" xfId="101" applyNumberFormat="1" applyFont="1" applyBorder="1" applyAlignment="1" applyProtection="1">
      <alignment vertical="center"/>
    </xf>
    <xf numFmtId="0" fontId="22" fillId="0" borderId="104" xfId="101" applyFont="1" applyFill="1" applyBorder="1" applyAlignment="1" applyProtection="1">
      <alignment vertical="center"/>
    </xf>
    <xf numFmtId="0" fontId="22" fillId="0" borderId="16" xfId="101" applyFont="1" applyFill="1" applyBorder="1" applyAlignment="1" applyProtection="1">
      <alignment vertical="center"/>
    </xf>
    <xf numFmtId="0" fontId="22" fillId="0" borderId="43" xfId="101" applyFont="1" applyFill="1" applyBorder="1" applyAlignment="1" applyProtection="1">
      <alignment vertical="center"/>
    </xf>
    <xf numFmtId="0" fontId="22" fillId="0" borderId="34" xfId="101" applyFont="1" applyBorder="1" applyAlignment="1" applyProtection="1">
      <alignment vertical="center"/>
    </xf>
    <xf numFmtId="0" fontId="23" fillId="0" borderId="52" xfId="101" applyFont="1" applyBorder="1" applyAlignment="1" applyProtection="1">
      <alignment vertical="center"/>
    </xf>
    <xf numFmtId="0" fontId="23" fillId="0" borderId="36" xfId="101" applyFont="1" applyBorder="1" applyAlignment="1" applyProtection="1">
      <alignment vertical="center"/>
    </xf>
    <xf numFmtId="14" fontId="19" fillId="0" borderId="36" xfId="101" applyNumberFormat="1" applyFont="1" applyBorder="1" applyAlignment="1" applyProtection="1">
      <alignment horizontal="center" vertical="center"/>
    </xf>
    <xf numFmtId="0" fontId="19" fillId="0" borderId="36" xfId="101" applyFont="1" applyBorder="1" applyAlignment="1" applyProtection="1">
      <alignment vertical="center"/>
    </xf>
    <xf numFmtId="0" fontId="338" fillId="0" borderId="35" xfId="101" applyFont="1" applyBorder="1" applyAlignment="1" applyProtection="1">
      <alignment vertical="center"/>
    </xf>
    <xf numFmtId="0" fontId="20" fillId="32" borderId="14" xfId="101" applyFont="1" applyFill="1" applyBorder="1" applyAlignment="1" applyProtection="1">
      <alignment horizontal="center" vertical="center"/>
      <protection locked="0"/>
    </xf>
    <xf numFmtId="0" fontId="341" fillId="0" borderId="0" xfId="101" applyFont="1" applyBorder="1" applyAlignment="1" applyProtection="1">
      <alignment horizontal="left" vertical="center"/>
    </xf>
    <xf numFmtId="0" fontId="342" fillId="0" borderId="0" xfId="101" applyFont="1" applyBorder="1" applyAlignment="1" applyProtection="1">
      <alignment vertical="top"/>
    </xf>
    <xf numFmtId="1" fontId="160" fillId="32" borderId="33" xfId="0" applyNumberFormat="1" applyFont="1" applyFill="1" applyBorder="1" applyAlignment="1" applyProtection="1">
      <alignment horizontal="center" vertical="center"/>
    </xf>
    <xf numFmtId="1" fontId="169" fillId="32" borderId="13" xfId="0" applyNumberFormat="1" applyFont="1" applyFill="1" applyBorder="1" applyAlignment="1" applyProtection="1">
      <alignment horizontal="center" vertical="center"/>
    </xf>
    <xf numFmtId="8" fontId="96" fillId="36" borderId="12" xfId="58" applyNumberFormat="1" applyFont="1" applyFill="1" applyBorder="1" applyAlignment="1" applyProtection="1"/>
    <xf numFmtId="14" fontId="19" fillId="26" borderId="13" xfId="0" applyNumberFormat="1" applyFont="1" applyFill="1" applyBorder="1" applyAlignment="1">
      <alignment horizontal="center" vertical="center"/>
    </xf>
    <xf numFmtId="0" fontId="344" fillId="32" borderId="0" xfId="0" applyFont="1" applyFill="1" applyBorder="1" applyAlignment="1">
      <alignment horizontal="left" vertical="center"/>
    </xf>
    <xf numFmtId="227" fontId="107" fillId="26" borderId="85" xfId="58" applyNumberFormat="1" applyFont="1" applyFill="1" applyBorder="1" applyAlignment="1">
      <alignment horizontal="center" vertical="center"/>
    </xf>
    <xf numFmtId="227" fontId="107" fillId="26" borderId="60" xfId="58" applyNumberFormat="1" applyFont="1" applyFill="1" applyBorder="1" applyAlignment="1">
      <alignment horizontal="center" vertical="center"/>
    </xf>
    <xf numFmtId="227" fontId="107" fillId="26" borderId="83" xfId="58" applyNumberFormat="1" applyFont="1" applyFill="1" applyBorder="1" applyAlignment="1">
      <alignment horizontal="center" vertical="center"/>
    </xf>
    <xf numFmtId="44" fontId="298" fillId="32" borderId="21" xfId="62" applyNumberFormat="1" applyFont="1" applyFill="1" applyBorder="1" applyAlignment="1" applyProtection="1">
      <alignment vertical="center"/>
      <protection locked="0"/>
    </xf>
    <xf numFmtId="0" fontId="26" fillId="26" borderId="0" xfId="58" applyFont="1" applyFill="1" applyAlignment="1">
      <alignment horizontal="center"/>
    </xf>
    <xf numFmtId="0" fontId="26" fillId="26" borderId="0" xfId="58" quotePrefix="1" applyFont="1" applyFill="1" applyAlignment="1">
      <alignment horizontal="center"/>
    </xf>
    <xf numFmtId="0" fontId="125" fillId="32" borderId="33" xfId="58" applyFont="1" applyFill="1" applyBorder="1" applyAlignment="1">
      <alignment horizontal="center" vertical="center" wrapText="1"/>
    </xf>
    <xf numFmtId="4" fontId="14" fillId="26" borderId="0" xfId="58" applyNumberFormat="1" applyFont="1" applyFill="1" applyAlignment="1">
      <alignment vertical="center"/>
    </xf>
    <xf numFmtId="0" fontId="24" fillId="26" borderId="0" xfId="58" applyFont="1" applyFill="1" applyAlignment="1">
      <alignment vertical="center"/>
    </xf>
    <xf numFmtId="184" fontId="26" fillId="26" borderId="0" xfId="32" applyFont="1" applyFill="1" applyAlignment="1">
      <alignment horizontal="center" vertical="center"/>
    </xf>
    <xf numFmtId="4" fontId="24" fillId="26" borderId="0" xfId="58" applyNumberFormat="1" applyFont="1" applyFill="1" applyAlignment="1">
      <alignment horizontal="center"/>
    </xf>
    <xf numFmtId="0" fontId="345" fillId="26" borderId="0" xfId="58" applyFont="1" applyFill="1"/>
    <xf numFmtId="0" fontId="96" fillId="0" borderId="0" xfId="0" applyFont="1" applyFill="1" applyBorder="1" applyAlignment="1" applyProtection="1">
      <alignment horizontal="center"/>
    </xf>
    <xf numFmtId="10" fontId="152" fillId="0" borderId="36" xfId="41" applyNumberFormat="1" applyFont="1" applyFill="1" applyBorder="1" applyAlignment="1" applyProtection="1">
      <alignment horizontal="right" vertical="center"/>
    </xf>
    <xf numFmtId="0" fontId="338" fillId="0" borderId="35" xfId="0" applyFont="1" applyBorder="1" applyAlignment="1">
      <alignment vertical="center"/>
    </xf>
    <xf numFmtId="0" fontId="23" fillId="0" borderId="36" xfId="0" applyFont="1" applyBorder="1" applyAlignment="1">
      <alignment vertical="center"/>
    </xf>
    <xf numFmtId="0" fontId="24" fillId="0" borderId="37" xfId="0" applyFont="1" applyBorder="1" applyAlignment="1">
      <alignment vertical="center"/>
    </xf>
    <xf numFmtId="0" fontId="22" fillId="0" borderId="0" xfId="0" applyFont="1" applyAlignment="1">
      <alignment vertical="center"/>
    </xf>
    <xf numFmtId="0" fontId="22" fillId="0" borderId="38" xfId="0" applyFont="1" applyBorder="1" applyAlignment="1">
      <alignment vertical="center"/>
    </xf>
    <xf numFmtId="0" fontId="22" fillId="0" borderId="37" xfId="0" applyFont="1" applyBorder="1" applyAlignment="1">
      <alignment vertical="center"/>
    </xf>
    <xf numFmtId="0" fontId="123" fillId="0" borderId="0" xfId="0" applyFont="1" applyAlignment="1">
      <alignment vertical="center"/>
    </xf>
    <xf numFmtId="0" fontId="22" fillId="0" borderId="34" xfId="0" applyFont="1" applyBorder="1" applyAlignment="1">
      <alignment vertical="center"/>
    </xf>
    <xf numFmtId="0" fontId="20" fillId="0" borderId="0" xfId="0" applyFont="1" applyAlignment="1">
      <alignment vertical="center"/>
    </xf>
    <xf numFmtId="0" fontId="22" fillId="0" borderId="43" xfId="0" applyFont="1" applyBorder="1" applyAlignment="1">
      <alignment vertical="center"/>
    </xf>
    <xf numFmtId="0" fontId="22" fillId="0" borderId="16" xfId="0" applyFont="1" applyBorder="1" applyAlignment="1">
      <alignment vertical="center"/>
    </xf>
    <xf numFmtId="0" fontId="22" fillId="0" borderId="104" xfId="0" applyFont="1" applyBorder="1" applyAlignment="1">
      <alignment vertical="center"/>
    </xf>
    <xf numFmtId="15" fontId="20" fillId="0" borderId="37" xfId="0" applyNumberFormat="1" applyFont="1" applyBorder="1" applyAlignment="1">
      <alignment vertical="center"/>
    </xf>
    <xf numFmtId="0" fontId="20" fillId="0" borderId="38" xfId="0" applyFont="1" applyBorder="1" applyAlignment="1">
      <alignment vertical="center"/>
    </xf>
    <xf numFmtId="0" fontId="20" fillId="0" borderId="37" xfId="0" quotePrefix="1" applyFont="1" applyBorder="1" applyAlignment="1">
      <alignment vertical="center"/>
    </xf>
    <xf numFmtId="0" fontId="22" fillId="64" borderId="53" xfId="0" quotePrefix="1" applyFont="1" applyFill="1" applyBorder="1" applyAlignment="1">
      <alignment vertical="center"/>
    </xf>
    <xf numFmtId="0" fontId="20" fillId="64" borderId="54" xfId="0" applyFont="1" applyFill="1" applyBorder="1" applyAlignment="1">
      <alignment vertical="center"/>
    </xf>
    <xf numFmtId="0" fontId="20" fillId="64" borderId="59" xfId="0" applyFont="1" applyFill="1" applyBorder="1" applyAlignment="1">
      <alignment vertical="center"/>
    </xf>
    <xf numFmtId="0" fontId="22" fillId="32" borderId="53" xfId="0" applyFont="1" applyFill="1" applyBorder="1" applyAlignment="1">
      <alignment vertical="center"/>
    </xf>
    <xf numFmtId="0" fontId="20" fillId="32" borderId="36" xfId="0" applyFont="1" applyFill="1" applyBorder="1" applyAlignment="1">
      <alignment vertical="center"/>
    </xf>
    <xf numFmtId="0" fontId="20" fillId="32" borderId="52" xfId="0" applyFont="1" applyFill="1" applyBorder="1" applyAlignment="1">
      <alignment vertical="center"/>
    </xf>
    <xf numFmtId="0" fontId="22" fillId="0" borderId="53" xfId="0" applyFont="1" applyBorder="1" applyAlignment="1">
      <alignment vertical="center"/>
    </xf>
    <xf numFmtId="0" fontId="22" fillId="0" borderId="54" xfId="0" applyFont="1" applyBorder="1" applyAlignment="1">
      <alignment vertical="center"/>
    </xf>
    <xf numFmtId="0" fontId="22" fillId="0" borderId="59" xfId="0" applyFont="1" applyBorder="1" applyAlignment="1">
      <alignment vertical="center"/>
    </xf>
    <xf numFmtId="0" fontId="20" fillId="0" borderId="37" xfId="0" applyFont="1" applyBorder="1" applyAlignment="1">
      <alignment vertical="center"/>
    </xf>
    <xf numFmtId="0" fontId="26" fillId="0" borderId="0" xfId="0" applyFont="1" applyAlignment="1">
      <alignment vertical="center"/>
    </xf>
    <xf numFmtId="10" fontId="20" fillId="0" borderId="0" xfId="41" applyNumberFormat="1" applyFont="1" applyBorder="1" applyAlignment="1">
      <alignment vertical="center"/>
    </xf>
    <xf numFmtId="16" fontId="19" fillId="0" borderId="37" xfId="0" quotePrefix="1" applyNumberFormat="1" applyFont="1" applyBorder="1" applyAlignment="1">
      <alignment horizontal="right" vertical="center"/>
    </xf>
    <xf numFmtId="177" fontId="24" fillId="0" borderId="143" xfId="105" applyNumberFormat="1" applyFont="1" applyFill="1" applyBorder="1" applyAlignment="1">
      <alignment vertical="center"/>
    </xf>
    <xf numFmtId="0" fontId="20" fillId="0" borderId="54" xfId="0" applyFont="1" applyBorder="1" applyAlignment="1">
      <alignment vertical="center"/>
    </xf>
    <xf numFmtId="0" fontId="15" fillId="0" borderId="38" xfId="0" applyFont="1" applyBorder="1"/>
    <xf numFmtId="0" fontId="19" fillId="0" borderId="37" xfId="0" quotePrefix="1" applyFont="1" applyBorder="1" applyAlignment="1">
      <alignment horizontal="right" vertical="center"/>
    </xf>
    <xf numFmtId="0" fontId="15" fillId="0" borderId="38" xfId="0" applyFont="1" applyBorder="1" applyAlignment="1">
      <alignment vertical="center"/>
    </xf>
    <xf numFmtId="0" fontId="0" fillId="0" borderId="38" xfId="0" applyBorder="1"/>
    <xf numFmtId="0" fontId="20" fillId="0" borderId="39"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16" fontId="22" fillId="0" borderId="53" xfId="0" quotePrefix="1" applyNumberFormat="1" applyFont="1" applyBorder="1" applyAlignment="1">
      <alignment horizontal="left" vertical="center"/>
    </xf>
    <xf numFmtId="0" fontId="22" fillId="0" borderId="54" xfId="0" applyFont="1" applyBorder="1"/>
    <xf numFmtId="0" fontId="0" fillId="0" borderId="54" xfId="0" applyBorder="1"/>
    <xf numFmtId="0" fontId="15" fillId="0" borderId="54" xfId="0" applyFont="1" applyBorder="1" applyAlignment="1">
      <alignment horizontal="center" vertical="center"/>
    </xf>
    <xf numFmtId="0" fontId="22" fillId="0" borderId="39" xfId="0" applyFont="1" applyBorder="1" applyAlignment="1">
      <alignment vertical="center"/>
    </xf>
    <xf numFmtId="0" fontId="22" fillId="0" borderId="40" xfId="0" applyFont="1" applyBorder="1" applyAlignment="1">
      <alignment vertical="center"/>
    </xf>
    <xf numFmtId="0" fontId="22" fillId="0" borderId="41" xfId="0" applyFont="1" applyBorder="1" applyAlignment="1">
      <alignment vertical="center"/>
    </xf>
    <xf numFmtId="292" fontId="0" fillId="0" borderId="49" xfId="0" applyNumberFormat="1" applyBorder="1"/>
    <xf numFmtId="292" fontId="0" fillId="0" borderId="13" xfId="0" applyNumberFormat="1" applyBorder="1"/>
    <xf numFmtId="0" fontId="0" fillId="0" borderId="37" xfId="0" applyBorder="1"/>
    <xf numFmtId="2" fontId="0" fillId="0" borderId="49" xfId="0" applyNumberFormat="1" applyBorder="1"/>
    <xf numFmtId="2" fontId="0" fillId="0" borderId="13" xfId="0" applyNumberFormat="1" applyBorder="1"/>
    <xf numFmtId="2" fontId="14" fillId="47" borderId="13" xfId="0" applyNumberFormat="1" applyFont="1" applyFill="1" applyBorder="1"/>
    <xf numFmtId="2" fontId="0" fillId="0" borderId="241" xfId="0" applyNumberFormat="1" applyBorder="1"/>
    <xf numFmtId="2" fontId="0" fillId="0" borderId="242" xfId="0" applyNumberFormat="1" applyBorder="1"/>
    <xf numFmtId="2" fontId="14" fillId="0" borderId="42" xfId="0" applyNumberFormat="1" applyFont="1" applyBorder="1"/>
    <xf numFmtId="2" fontId="14" fillId="0" borderId="14" xfId="0" applyNumberFormat="1" applyFont="1" applyBorder="1"/>
    <xf numFmtId="0" fontId="14" fillId="0" borderId="38" xfId="0" applyFont="1" applyBorder="1"/>
    <xf numFmtId="0" fontId="22" fillId="0" borderId="53" xfId="0" applyFont="1" applyBorder="1"/>
    <xf numFmtId="0" fontId="22" fillId="64" borderId="53" xfId="0" applyFont="1" applyFill="1" applyBorder="1" applyAlignment="1">
      <alignment vertical="center"/>
    </xf>
    <xf numFmtId="0" fontId="0" fillId="64" borderId="54" xfId="0" applyFill="1" applyBorder="1"/>
    <xf numFmtId="0" fontId="0" fillId="64" borderId="59" xfId="0" applyFill="1" applyBorder="1"/>
    <xf numFmtId="0" fontId="0" fillId="0" borderId="59" xfId="0" applyBorder="1"/>
    <xf numFmtId="0" fontId="20" fillId="0" borderId="53" xfId="0" applyFont="1" applyBorder="1"/>
    <xf numFmtId="10" fontId="20" fillId="43" borderId="89" xfId="41" applyNumberFormat="1" applyFont="1" applyFill="1" applyBorder="1"/>
    <xf numFmtId="0" fontId="22" fillId="0" borderId="35" xfId="0" applyFont="1" applyBorder="1" applyAlignment="1">
      <alignment vertical="center"/>
    </xf>
    <xf numFmtId="0" fontId="22" fillId="0" borderId="36" xfId="0" applyFont="1" applyBorder="1" applyAlignment="1">
      <alignment vertical="center"/>
    </xf>
    <xf numFmtId="0" fontId="335" fillId="0" borderId="36" xfId="0" applyFont="1" applyBorder="1" applyAlignment="1">
      <alignment vertical="center"/>
    </xf>
    <xf numFmtId="0" fontId="335" fillId="0" borderId="52" xfId="0" applyFont="1" applyBorder="1" applyAlignment="1">
      <alignment vertical="center"/>
    </xf>
    <xf numFmtId="0" fontId="335" fillId="0" borderId="16" xfId="0" applyFont="1" applyBorder="1" applyAlignment="1">
      <alignment vertical="center"/>
    </xf>
    <xf numFmtId="0" fontId="335" fillId="0" borderId="17" xfId="0" applyFont="1" applyBorder="1" applyAlignment="1">
      <alignment vertical="center"/>
    </xf>
    <xf numFmtId="0" fontId="335" fillId="0" borderId="44" xfId="0" applyFont="1" applyBorder="1" applyAlignment="1">
      <alignment vertical="center"/>
    </xf>
    <xf numFmtId="0" fontId="15" fillId="0" borderId="44" xfId="0" applyFont="1" applyBorder="1"/>
    <xf numFmtId="0" fontId="0" fillId="0" borderId="115" xfId="0" applyBorder="1"/>
    <xf numFmtId="0" fontId="0" fillId="0" borderId="44" xfId="0" applyBorder="1"/>
    <xf numFmtId="0" fontId="22" fillId="0" borderId="115" xfId="0" applyFont="1" applyBorder="1" applyAlignment="1">
      <alignment vertical="center"/>
    </xf>
    <xf numFmtId="0" fontId="20" fillId="0" borderId="48" xfId="0" applyFont="1" applyBorder="1" applyAlignment="1">
      <alignment horizontal="center" vertical="center"/>
    </xf>
    <xf numFmtId="0" fontId="333" fillId="0" borderId="48" xfId="0" applyFont="1" applyBorder="1" applyAlignment="1">
      <alignment horizontal="center" vertical="center"/>
    </xf>
    <xf numFmtId="0" fontId="20" fillId="0" borderId="26" xfId="0" applyFont="1" applyBorder="1" applyAlignment="1">
      <alignment horizontal="center" vertical="center"/>
    </xf>
    <xf numFmtId="2" fontId="20" fillId="0" borderId="51" xfId="0" applyNumberFormat="1" applyFont="1" applyBorder="1" applyAlignment="1">
      <alignment vertical="center"/>
    </xf>
    <xf numFmtId="2" fontId="333" fillId="0" borderId="51" xfId="0" applyNumberFormat="1" applyFont="1" applyBorder="1" applyAlignment="1">
      <alignment vertical="center"/>
    </xf>
    <xf numFmtId="2" fontId="20" fillId="0" borderId="32" xfId="0" applyNumberFormat="1" applyFont="1" applyBorder="1" applyAlignment="1">
      <alignment vertical="center"/>
    </xf>
    <xf numFmtId="2" fontId="20" fillId="0" borderId="43" xfId="0" applyNumberFormat="1" applyFont="1" applyBorder="1" applyAlignment="1">
      <alignment vertical="center"/>
    </xf>
    <xf numFmtId="2" fontId="20" fillId="0" borderId="0" xfId="0" applyNumberFormat="1" applyFont="1" applyAlignment="1">
      <alignment vertical="center"/>
    </xf>
    <xf numFmtId="2" fontId="333" fillId="0" borderId="0" xfId="0" applyNumberFormat="1" applyFont="1" applyAlignment="1">
      <alignment vertical="center"/>
    </xf>
    <xf numFmtId="0" fontId="333" fillId="0" borderId="44" xfId="0" applyFont="1" applyBorder="1" applyAlignment="1">
      <alignment vertical="center"/>
    </xf>
    <xf numFmtId="0" fontId="32" fillId="0" borderId="0" xfId="0" applyFont="1"/>
    <xf numFmtId="0" fontId="347" fillId="0" borderId="44" xfId="0" applyFont="1" applyBorder="1" applyAlignment="1">
      <alignment vertical="center"/>
    </xf>
    <xf numFmtId="177" fontId="32" fillId="0" borderId="143" xfId="0" applyNumberFormat="1" applyFont="1" applyBorder="1"/>
    <xf numFmtId="0" fontId="0" fillId="0" borderId="45" xfId="0" applyBorder="1"/>
    <xf numFmtId="0" fontId="0" fillId="0" borderId="11" xfId="0" applyBorder="1"/>
    <xf numFmtId="0" fontId="333" fillId="0" borderId="46" xfId="0" applyFont="1" applyBorder="1" applyAlignment="1">
      <alignment vertical="center"/>
    </xf>
    <xf numFmtId="0" fontId="22" fillId="64" borderId="39" xfId="0" applyFont="1" applyFill="1" applyBorder="1" applyAlignment="1">
      <alignment vertical="center"/>
    </xf>
    <xf numFmtId="0" fontId="22" fillId="64" borderId="40" xfId="0" applyFont="1" applyFill="1" applyBorder="1" applyAlignment="1">
      <alignment vertical="center"/>
    </xf>
    <xf numFmtId="0" fontId="335" fillId="64" borderId="40" xfId="0" applyFont="1" applyFill="1" applyBorder="1" applyAlignment="1">
      <alignment vertical="center"/>
    </xf>
    <xf numFmtId="0" fontId="335" fillId="64" borderId="41" xfId="0" applyFont="1" applyFill="1" applyBorder="1" applyAlignment="1">
      <alignment vertical="center"/>
    </xf>
    <xf numFmtId="0" fontId="22" fillId="34" borderId="37" xfId="0" applyFont="1" applyFill="1" applyBorder="1" applyAlignment="1">
      <alignment vertical="center"/>
    </xf>
    <xf numFmtId="0" fontId="22" fillId="34" borderId="0" xfId="0" applyFont="1" applyFill="1" applyAlignment="1">
      <alignment vertical="center"/>
    </xf>
    <xf numFmtId="0" fontId="335" fillId="34" borderId="0" xfId="0" applyFont="1" applyFill="1" applyAlignment="1">
      <alignment vertical="center"/>
    </xf>
    <xf numFmtId="0" fontId="335" fillId="34" borderId="38" xfId="0" applyFont="1" applyFill="1" applyBorder="1" applyAlignment="1">
      <alignment vertical="center"/>
    </xf>
    <xf numFmtId="0" fontId="0" fillId="34" borderId="37" xfId="0" applyFill="1" applyBorder="1"/>
    <xf numFmtId="0" fontId="0" fillId="34" borderId="38" xfId="0" applyFill="1" applyBorder="1"/>
    <xf numFmtId="0" fontId="20" fillId="34" borderId="53" xfId="0" applyFont="1" applyFill="1" applyBorder="1"/>
    <xf numFmtId="0" fontId="0" fillId="34" borderId="54" xfId="0" applyFill="1" applyBorder="1"/>
    <xf numFmtId="0" fontId="15" fillId="36" borderId="49" xfId="0" applyFont="1" applyFill="1" applyBorder="1" applyAlignment="1">
      <alignment horizontal="center"/>
    </xf>
    <xf numFmtId="0" fontId="15" fillId="36" borderId="13" xfId="0" applyFont="1" applyFill="1" applyBorder="1" applyAlignment="1">
      <alignment horizontal="center"/>
    </xf>
    <xf numFmtId="220" fontId="0" fillId="34" borderId="49" xfId="0" applyNumberFormat="1" applyFill="1" applyBorder="1"/>
    <xf numFmtId="220" fontId="0" fillId="34" borderId="13" xfId="0" applyNumberFormat="1" applyFill="1" applyBorder="1"/>
    <xf numFmtId="0" fontId="15" fillId="34" borderId="38" xfId="0" applyFont="1" applyFill="1" applyBorder="1"/>
    <xf numFmtId="0" fontId="20" fillId="34" borderId="37" xfId="0" applyFont="1" applyFill="1" applyBorder="1" applyAlignment="1">
      <alignment vertical="center"/>
    </xf>
    <xf numFmtId="0" fontId="20" fillId="34" borderId="25" xfId="0" applyFont="1" applyFill="1" applyBorder="1" applyAlignment="1">
      <alignment horizontal="center" vertical="center"/>
    </xf>
    <xf numFmtId="0" fontId="20" fillId="34" borderId="48" xfId="0" applyFont="1" applyFill="1" applyBorder="1" applyAlignment="1">
      <alignment horizontal="center" vertical="center"/>
    </xf>
    <xf numFmtId="0" fontId="333" fillId="34" borderId="48" xfId="0" applyFont="1" applyFill="1" applyBorder="1" applyAlignment="1">
      <alignment horizontal="center" vertical="center"/>
    </xf>
    <xf numFmtId="0" fontId="20" fillId="34" borderId="26" xfId="0" applyFont="1" applyFill="1" applyBorder="1" applyAlignment="1">
      <alignment horizontal="center" vertical="center"/>
    </xf>
    <xf numFmtId="2" fontId="20" fillId="43" borderId="50" xfId="0" applyNumberFormat="1" applyFont="1" applyFill="1" applyBorder="1" applyAlignment="1">
      <alignment vertical="center"/>
    </xf>
    <xf numFmtId="2" fontId="20" fillId="34" borderId="79" xfId="0" applyNumberFormat="1" applyFont="1" applyFill="1" applyBorder="1" applyAlignment="1">
      <alignment vertical="center"/>
    </xf>
    <xf numFmtId="2" fontId="20" fillId="34" borderId="0" xfId="0" applyNumberFormat="1" applyFont="1" applyFill="1" applyAlignment="1">
      <alignment vertical="center"/>
    </xf>
    <xf numFmtId="2" fontId="333" fillId="34" borderId="0" xfId="0" applyNumberFormat="1" applyFont="1" applyFill="1" applyAlignment="1">
      <alignment vertical="center"/>
    </xf>
    <xf numFmtId="2" fontId="20" fillId="34" borderId="37" xfId="0" applyNumberFormat="1" applyFont="1" applyFill="1" applyBorder="1" applyAlignment="1">
      <alignment vertical="center"/>
    </xf>
    <xf numFmtId="0" fontId="0" fillId="34" borderId="49" xfId="0" applyFill="1" applyBorder="1"/>
    <xf numFmtId="0" fontId="0" fillId="34" borderId="13" xfId="0" applyFill="1" applyBorder="1"/>
    <xf numFmtId="0" fontId="0" fillId="34" borderId="241" xfId="0" applyFill="1" applyBorder="1"/>
    <xf numFmtId="0" fontId="0" fillId="34" borderId="242" xfId="0" applyFill="1" applyBorder="1"/>
    <xf numFmtId="2" fontId="334" fillId="47" borderId="242" xfId="0" applyNumberFormat="1" applyFont="1" applyFill="1" applyBorder="1"/>
    <xf numFmtId="0" fontId="14" fillId="34" borderId="42" xfId="0" applyFont="1" applyFill="1" applyBorder="1"/>
    <xf numFmtId="0" fontId="14" fillId="34" borderId="14" xfId="0" applyFont="1" applyFill="1" applyBorder="1"/>
    <xf numFmtId="2" fontId="334" fillId="47" borderId="14" xfId="0" applyNumberFormat="1" applyFont="1" applyFill="1" applyBorder="1"/>
    <xf numFmtId="0" fontId="14" fillId="34" borderId="38" xfId="0" applyFont="1" applyFill="1" applyBorder="1"/>
    <xf numFmtId="0" fontId="15" fillId="34" borderId="37" xfId="0" applyFont="1" applyFill="1" applyBorder="1"/>
    <xf numFmtId="0" fontId="0" fillId="34" borderId="39" xfId="0" applyFill="1" applyBorder="1"/>
    <xf numFmtId="0" fontId="0" fillId="34" borderId="40" xfId="0" applyFill="1" applyBorder="1"/>
    <xf numFmtId="0" fontId="0" fillId="34" borderId="41" xfId="0" applyFill="1" applyBorder="1"/>
    <xf numFmtId="1" fontId="155" fillId="0" borderId="33" xfId="41" applyNumberFormat="1" applyFont="1" applyFill="1" applyBorder="1" applyAlignment="1" applyProtection="1">
      <alignment horizontal="center" vertical="center" wrapText="1"/>
    </xf>
    <xf numFmtId="0" fontId="0" fillId="0" borderId="0" xfId="0" applyBorder="1"/>
    <xf numFmtId="0" fontId="172" fillId="26" borderId="0" xfId="0" applyNumberFormat="1" applyFont="1" applyFill="1" applyBorder="1" applyAlignment="1" applyProtection="1">
      <alignment horizontal="right" vertical="center" wrapText="1"/>
    </xf>
    <xf numFmtId="0" fontId="22" fillId="0" borderId="0" xfId="0" applyFont="1" applyBorder="1" applyAlignment="1">
      <alignment vertical="center"/>
    </xf>
    <xf numFmtId="0" fontId="20" fillId="0" borderId="0"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0" fillId="0" borderId="52" xfId="0" applyFont="1" applyBorder="1" applyAlignment="1">
      <alignment vertical="center"/>
    </xf>
    <xf numFmtId="0" fontId="20" fillId="0" borderId="0" xfId="0" applyFont="1" applyBorder="1" applyAlignment="1">
      <alignment vertical="center" wrapText="1"/>
    </xf>
    <xf numFmtId="10" fontId="349" fillId="0" borderId="0" xfId="0" applyNumberFormat="1" applyFont="1" applyBorder="1" applyAlignment="1">
      <alignment vertical="center"/>
    </xf>
    <xf numFmtId="0" fontId="327" fillId="0" borderId="0" xfId="0" applyFont="1" applyBorder="1" applyAlignment="1">
      <alignment vertical="center"/>
    </xf>
    <xf numFmtId="2" fontId="15" fillId="0" borderId="0" xfId="0" applyNumberFormat="1" applyFont="1" applyBorder="1" applyAlignment="1">
      <alignment vertical="center"/>
    </xf>
    <xf numFmtId="0" fontId="15" fillId="0" borderId="0" xfId="0" applyFont="1" applyFill="1"/>
    <xf numFmtId="0" fontId="0" fillId="0" borderId="0" xfId="0" applyFill="1"/>
    <xf numFmtId="229" fontId="152" fillId="0" borderId="13" xfId="0" applyNumberFormat="1" applyFont="1" applyFill="1" applyBorder="1" applyAlignment="1" applyProtection="1">
      <alignment horizontal="left" vertical="center"/>
    </xf>
    <xf numFmtId="0" fontId="26" fillId="26" borderId="0" xfId="58" applyFont="1" applyFill="1" applyAlignment="1">
      <alignment horizontal="center"/>
    </xf>
    <xf numFmtId="0" fontId="334" fillId="0" borderId="0" xfId="0" applyFont="1"/>
    <xf numFmtId="3" fontId="77" fillId="32" borderId="0" xfId="0" applyNumberFormat="1" applyFont="1" applyFill="1" applyBorder="1" applyAlignment="1">
      <alignment horizontal="center" vertical="center"/>
    </xf>
    <xf numFmtId="0" fontId="77" fillId="0" borderId="0" xfId="0" applyFont="1"/>
    <xf numFmtId="2" fontId="20" fillId="0" borderId="115" xfId="0" applyNumberFormat="1" applyFont="1" applyBorder="1" applyAlignment="1">
      <alignment vertical="center"/>
    </xf>
    <xf numFmtId="0" fontId="15" fillId="0" borderId="13" xfId="0" applyFont="1" applyBorder="1"/>
    <xf numFmtId="0" fontId="15" fillId="0" borderId="242" xfId="0" applyFont="1" applyBorder="1"/>
    <xf numFmtId="0" fontId="14" fillId="0" borderId="14" xfId="0" applyFont="1" applyBorder="1"/>
    <xf numFmtId="0" fontId="14" fillId="0" borderId="44" xfId="0" applyFont="1" applyBorder="1"/>
    <xf numFmtId="292" fontId="26" fillId="26" borderId="13" xfId="58" applyNumberFormat="1" applyFont="1" applyFill="1" applyBorder="1" applyAlignment="1">
      <alignment horizontal="center"/>
    </xf>
    <xf numFmtId="2" fontId="24" fillId="0" borderId="143" xfId="0" applyNumberFormat="1" applyFont="1" applyBorder="1" applyAlignment="1">
      <alignment vertical="center"/>
    </xf>
    <xf numFmtId="3" fontId="26" fillId="0" borderId="0" xfId="0" applyNumberFormat="1" applyFont="1" applyAlignment="1">
      <alignment vertical="center"/>
    </xf>
    <xf numFmtId="3" fontId="96" fillId="0" borderId="49" xfId="0" applyNumberFormat="1" applyFont="1" applyFill="1" applyBorder="1" applyAlignment="1" applyProtection="1">
      <alignment vertical="center"/>
    </xf>
    <xf numFmtId="283" fontId="15" fillId="32" borderId="0" xfId="38" applyNumberFormat="1" applyFont="1" applyFill="1" applyBorder="1" applyAlignment="1" applyProtection="1">
      <alignment horizontal="center" vertical="center"/>
    </xf>
    <xf numFmtId="3" fontId="15" fillId="32" borderId="0" xfId="0" applyNumberFormat="1" applyFont="1" applyFill="1" applyBorder="1" applyAlignment="1">
      <alignment horizontal="center" vertical="center"/>
    </xf>
    <xf numFmtId="0" fontId="22" fillId="40" borderId="14" xfId="0" applyFont="1" applyFill="1" applyBorder="1" applyAlignment="1">
      <alignment horizontal="center" vertical="center"/>
    </xf>
    <xf numFmtId="4" fontId="26" fillId="35" borderId="0" xfId="0" applyNumberFormat="1" applyFont="1" applyFill="1" applyAlignment="1" applyProtection="1">
      <alignment vertical="center"/>
      <protection locked="0"/>
    </xf>
    <xf numFmtId="177" fontId="26" fillId="35" borderId="0" xfId="105" applyNumberFormat="1" applyFont="1" applyFill="1" applyBorder="1" applyAlignment="1" applyProtection="1">
      <alignment vertical="center"/>
      <protection locked="0"/>
    </xf>
    <xf numFmtId="10" fontId="22" fillId="59" borderId="59" xfId="41" applyNumberFormat="1" applyFont="1" applyFill="1" applyBorder="1"/>
    <xf numFmtId="177" fontId="338" fillId="59" borderId="59" xfId="0" applyNumberFormat="1" applyFont="1" applyFill="1" applyBorder="1" applyAlignment="1">
      <alignment vertical="center"/>
    </xf>
    <xf numFmtId="2" fontId="14" fillId="59" borderId="13" xfId="0" applyNumberFormat="1" applyFont="1" applyFill="1" applyBorder="1"/>
    <xf numFmtId="2" fontId="14" fillId="59" borderId="242" xfId="0" applyNumberFormat="1" applyFont="1" applyFill="1" applyBorder="1"/>
    <xf numFmtId="2" fontId="14" fillId="59" borderId="14" xfId="0" applyNumberFormat="1" applyFont="1" applyFill="1" applyBorder="1"/>
    <xf numFmtId="10" fontId="20" fillId="37" borderId="89" xfId="41" applyNumberFormat="1" applyFont="1" applyFill="1" applyBorder="1"/>
    <xf numFmtId="177" fontId="32" fillId="59" borderId="0" xfId="0" applyNumberFormat="1" applyFont="1" applyFill="1"/>
    <xf numFmtId="0" fontId="14" fillId="36" borderId="13" xfId="0" applyFont="1" applyFill="1" applyBorder="1" applyAlignment="1">
      <alignment horizontal="center"/>
    </xf>
    <xf numFmtId="0" fontId="14" fillId="33" borderId="49" xfId="0" applyFont="1" applyFill="1" applyBorder="1" applyAlignment="1">
      <alignment horizontal="center"/>
    </xf>
    <xf numFmtId="0" fontId="14" fillId="33" borderId="13" xfId="0" applyFont="1" applyFill="1" applyBorder="1" applyAlignment="1">
      <alignment horizontal="center"/>
    </xf>
    <xf numFmtId="0" fontId="26" fillId="26" borderId="0" xfId="58" applyFont="1" applyFill="1" applyAlignment="1">
      <alignment horizontal="center"/>
    </xf>
    <xf numFmtId="6" fontId="125" fillId="0" borderId="13" xfId="60" applyNumberFormat="1" applyFont="1" applyFill="1" applyBorder="1" applyAlignment="1" applyProtection="1">
      <alignment vertical="center"/>
      <protection locked="0"/>
    </xf>
    <xf numFmtId="0" fontId="14" fillId="0" borderId="43" xfId="58" applyFont="1" applyBorder="1" applyProtection="1"/>
    <xf numFmtId="0" fontId="15" fillId="0" borderId="16" xfId="58" applyBorder="1" applyProtection="1"/>
    <xf numFmtId="0" fontId="15" fillId="0" borderId="0" xfId="58" applyProtection="1"/>
    <xf numFmtId="0" fontId="28" fillId="0" borderId="115" xfId="58" applyFont="1" applyBorder="1" applyProtection="1"/>
    <xf numFmtId="0" fontId="15" fillId="0" borderId="0" xfId="58" applyBorder="1" applyProtection="1"/>
    <xf numFmtId="0" fontId="15" fillId="0" borderId="0" xfId="58" applyFill="1" applyBorder="1" applyProtection="1"/>
    <xf numFmtId="0" fontId="63" fillId="61" borderId="115" xfId="58" applyFont="1" applyFill="1" applyBorder="1" applyAlignment="1" applyProtection="1">
      <alignment horizontal="center" vertical="center"/>
    </xf>
    <xf numFmtId="0" fontId="63" fillId="61" borderId="0" xfId="58" applyFont="1" applyFill="1" applyBorder="1" applyAlignment="1" applyProtection="1">
      <alignment horizontal="center" vertical="center" wrapText="1"/>
    </xf>
    <xf numFmtId="198" fontId="63" fillId="61" borderId="0" xfId="58" applyNumberFormat="1" applyFont="1" applyFill="1" applyBorder="1" applyAlignment="1" applyProtection="1">
      <alignment horizontal="center" vertical="center"/>
    </xf>
    <xf numFmtId="0" fontId="15" fillId="61" borderId="0" xfId="58" applyFill="1" applyProtection="1"/>
    <xf numFmtId="191" fontId="63" fillId="61" borderId="0" xfId="58" applyNumberFormat="1" applyFont="1" applyFill="1" applyBorder="1" applyAlignment="1" applyProtection="1">
      <alignment horizontal="center" vertical="center"/>
    </xf>
    <xf numFmtId="0" fontId="63" fillId="61" borderId="0" xfId="58" applyFont="1" applyFill="1" applyBorder="1" applyAlignment="1" applyProtection="1">
      <alignment horizontal="center" vertical="center"/>
    </xf>
    <xf numFmtId="0" fontId="15" fillId="0" borderId="43" xfId="58" applyFont="1" applyBorder="1" applyProtection="1"/>
    <xf numFmtId="2" fontId="15" fillId="40" borderId="16" xfId="58" applyNumberFormat="1" applyFill="1" applyBorder="1" applyAlignment="1" applyProtection="1">
      <alignment horizontal="center"/>
    </xf>
    <xf numFmtId="198" fontId="15" fillId="40" borderId="16" xfId="58" applyNumberFormat="1" applyFont="1" applyFill="1" applyBorder="1" applyAlignment="1" applyProtection="1">
      <alignment horizontal="center"/>
    </xf>
    <xf numFmtId="198" fontId="15" fillId="0" borderId="16" xfId="58" applyNumberFormat="1" applyBorder="1" applyAlignment="1" applyProtection="1">
      <alignment horizontal="right"/>
    </xf>
    <xf numFmtId="198" fontId="15" fillId="0" borderId="16" xfId="58" applyNumberFormat="1" applyBorder="1" applyProtection="1"/>
    <xf numFmtId="198" fontId="15" fillId="0" borderId="17" xfId="58" applyNumberFormat="1" applyBorder="1" applyProtection="1"/>
    <xf numFmtId="0" fontId="15" fillId="0" borderId="115" xfId="58" applyFont="1" applyBorder="1" applyProtection="1"/>
    <xf numFmtId="2" fontId="15" fillId="40" borderId="0" xfId="58" applyNumberFormat="1" applyFill="1" applyBorder="1" applyAlignment="1" applyProtection="1">
      <alignment horizontal="center"/>
    </xf>
    <xf numFmtId="198" fontId="15" fillId="0" borderId="0" xfId="58" applyNumberFormat="1" applyFont="1" applyBorder="1" applyAlignment="1" applyProtection="1">
      <alignment horizontal="center"/>
    </xf>
    <xf numFmtId="198" fontId="15" fillId="0" borderId="0" xfId="58" applyNumberFormat="1" applyBorder="1" applyAlignment="1" applyProtection="1">
      <alignment horizontal="right"/>
    </xf>
    <xf numFmtId="198" fontId="15" fillId="0" borderId="0" xfId="58" applyNumberFormat="1" applyBorder="1" applyProtection="1"/>
    <xf numFmtId="198" fontId="15" fillId="0" borderId="44" xfId="58" applyNumberFormat="1" applyBorder="1" applyProtection="1"/>
    <xf numFmtId="0" fontId="15" fillId="0" borderId="45" xfId="58" applyFont="1" applyBorder="1" applyProtection="1"/>
    <xf numFmtId="2" fontId="15" fillId="40" borderId="11" xfId="58" applyNumberFormat="1" applyFill="1" applyBorder="1" applyAlignment="1" applyProtection="1">
      <alignment horizontal="center"/>
    </xf>
    <xf numFmtId="198" fontId="15" fillId="0" borderId="11" xfId="58" applyNumberFormat="1" applyFont="1" applyBorder="1" applyAlignment="1" applyProtection="1">
      <alignment horizontal="center"/>
    </xf>
    <xf numFmtId="198" fontId="15" fillId="0" borderId="11" xfId="58" applyNumberFormat="1" applyBorder="1" applyAlignment="1" applyProtection="1">
      <alignment horizontal="right"/>
    </xf>
    <xf numFmtId="198" fontId="15" fillId="0" borderId="11" xfId="58" applyNumberFormat="1" applyBorder="1" applyProtection="1"/>
    <xf numFmtId="198" fontId="15" fillId="0" borderId="46" xfId="58" applyNumberFormat="1" applyBorder="1" applyProtection="1"/>
    <xf numFmtId="198" fontId="15" fillId="0" borderId="0" xfId="58" applyNumberFormat="1" applyFont="1" applyBorder="1" applyProtection="1"/>
    <xf numFmtId="198" fontId="28" fillId="0" borderId="0" xfId="58" applyNumberFormat="1" applyFont="1" applyBorder="1" applyAlignment="1" applyProtection="1">
      <alignment horizontal="right"/>
    </xf>
    <xf numFmtId="198" fontId="28" fillId="0" borderId="0" xfId="58" applyNumberFormat="1" applyFont="1" applyFill="1" applyBorder="1" applyProtection="1"/>
    <xf numFmtId="0" fontId="32" fillId="0" borderId="0" xfId="58" applyNumberFormat="1" applyFont="1" applyBorder="1" applyProtection="1"/>
    <xf numFmtId="8" fontId="96" fillId="36" borderId="0" xfId="58" applyNumberFormat="1" applyFont="1" applyFill="1" applyBorder="1" applyAlignment="1" applyProtection="1">
      <alignment horizontal="right"/>
    </xf>
    <xf numFmtId="3" fontId="152" fillId="32" borderId="27" xfId="0" applyNumberFormat="1" applyFont="1" applyFill="1" applyBorder="1" applyAlignment="1" applyProtection="1">
      <alignment horizontal="center" vertical="center"/>
    </xf>
    <xf numFmtId="293" fontId="152" fillId="32" borderId="27" xfId="0" applyNumberFormat="1" applyFont="1" applyFill="1" applyBorder="1" applyAlignment="1" applyProtection="1">
      <alignment horizontal="center" vertical="center"/>
      <protection locked="0"/>
    </xf>
    <xf numFmtId="293" fontId="152" fillId="32" borderId="42" xfId="0" applyNumberFormat="1" applyFont="1" applyFill="1" applyBorder="1" applyAlignment="1" applyProtection="1">
      <alignment horizontal="center" vertical="center"/>
      <protection locked="0"/>
    </xf>
    <xf numFmtId="294" fontId="24" fillId="26" borderId="0" xfId="58" applyNumberFormat="1" applyFont="1" applyFill="1" applyAlignment="1">
      <alignment horizontal="right"/>
    </xf>
    <xf numFmtId="0" fontId="9" fillId="32" borderId="0" xfId="106" applyFill="1" applyBorder="1"/>
    <xf numFmtId="0" fontId="11" fillId="32" borderId="0" xfId="106" applyFont="1" applyFill="1"/>
    <xf numFmtId="0" fontId="11" fillId="32" borderId="15" xfId="106" applyFont="1" applyFill="1" applyBorder="1"/>
    <xf numFmtId="0" fontId="350" fillId="32" borderId="10" xfId="106" applyFont="1" applyFill="1" applyBorder="1"/>
    <xf numFmtId="0" fontId="11" fillId="32" borderId="10" xfId="106" applyFont="1" applyFill="1" applyBorder="1"/>
    <xf numFmtId="0" fontId="11" fillId="32" borderId="12" xfId="106" applyFont="1" applyFill="1" applyBorder="1"/>
    <xf numFmtId="0" fontId="350" fillId="32" borderId="0" xfId="106" applyFont="1" applyFill="1"/>
    <xf numFmtId="293" fontId="11" fillId="59" borderId="0" xfId="106" applyNumberFormat="1" applyFont="1" applyFill="1" applyProtection="1">
      <protection locked="0"/>
    </xf>
    <xf numFmtId="293" fontId="11" fillId="59" borderId="11" xfId="106" applyNumberFormat="1" applyFont="1" applyFill="1" applyBorder="1" applyProtection="1">
      <protection locked="0"/>
    </xf>
    <xf numFmtId="293" fontId="11" fillId="32" borderId="0" xfId="106" applyNumberFormat="1" applyFont="1" applyFill="1"/>
    <xf numFmtId="293" fontId="11" fillId="32" borderId="0" xfId="106" applyNumberFormat="1" applyFont="1" applyFill="1" applyAlignment="1">
      <alignment horizontal="left"/>
    </xf>
    <xf numFmtId="293" fontId="11" fillId="32" borderId="0" xfId="106" applyNumberFormat="1" applyFont="1" applyFill="1" applyBorder="1"/>
    <xf numFmtId="293" fontId="11" fillId="32" borderId="11" xfId="106" applyNumberFormat="1" applyFont="1" applyFill="1" applyBorder="1"/>
    <xf numFmtId="0" fontId="81" fillId="32" borderId="0" xfId="106" applyFont="1" applyFill="1"/>
    <xf numFmtId="0" fontId="9" fillId="32" borderId="0" xfId="106" applyFill="1"/>
    <xf numFmtId="0" fontId="11" fillId="0" borderId="0" xfId="106" applyFont="1" applyFill="1"/>
    <xf numFmtId="295" fontId="350" fillId="32" borderId="0" xfId="106" applyNumberFormat="1" applyFont="1" applyFill="1" applyAlignment="1">
      <alignment horizontal="left"/>
    </xf>
    <xf numFmtId="293" fontId="350" fillId="32" borderId="10" xfId="106" applyNumberFormat="1" applyFont="1" applyFill="1" applyBorder="1"/>
    <xf numFmtId="0" fontId="351" fillId="32" borderId="43" xfId="106" applyFont="1" applyFill="1" applyBorder="1"/>
    <xf numFmtId="0" fontId="9" fillId="32" borderId="16" xfId="106" applyFill="1" applyBorder="1"/>
    <xf numFmtId="0" fontId="9" fillId="32" borderId="17" xfId="106" applyFill="1" applyBorder="1"/>
    <xf numFmtId="0" fontId="9" fillId="32" borderId="115" xfId="106" applyFill="1" applyBorder="1"/>
    <xf numFmtId="0" fontId="9" fillId="32" borderId="44" xfId="106" applyFill="1" applyBorder="1"/>
    <xf numFmtId="10" fontId="11" fillId="59" borderId="0" xfId="106" applyNumberFormat="1" applyFont="1" applyFill="1" applyAlignment="1" applyProtection="1">
      <alignment horizontal="left"/>
      <protection locked="0"/>
    </xf>
    <xf numFmtId="10" fontId="11" fillId="32" borderId="0" xfId="106" applyNumberFormat="1" applyFont="1" applyFill="1" applyAlignment="1">
      <alignment horizontal="left"/>
    </xf>
    <xf numFmtId="0" fontId="15" fillId="32" borderId="0" xfId="106" applyFont="1" applyFill="1"/>
    <xf numFmtId="0" fontId="11" fillId="32" borderId="0" xfId="106" applyFont="1" applyFill="1" applyAlignment="1">
      <alignment vertical="center"/>
    </xf>
    <xf numFmtId="0" fontId="9" fillId="32" borderId="0" xfId="106" applyFill="1" applyAlignment="1">
      <alignment vertical="center"/>
    </xf>
    <xf numFmtId="293" fontId="9" fillId="59" borderId="0" xfId="106" applyNumberFormat="1" applyFill="1" applyAlignment="1" applyProtection="1">
      <alignment horizontal="left" vertical="center"/>
      <protection locked="0"/>
    </xf>
    <xf numFmtId="0" fontId="9" fillId="32" borderId="0" xfId="106" applyFill="1" applyBorder="1" applyAlignment="1">
      <alignment vertical="center"/>
    </xf>
    <xf numFmtId="0" fontId="9" fillId="32" borderId="115" xfId="106" applyFill="1" applyBorder="1" applyAlignment="1">
      <alignment vertical="center"/>
    </xf>
    <xf numFmtId="0" fontId="9" fillId="32" borderId="44" xfId="106" applyFill="1" applyBorder="1" applyAlignment="1">
      <alignment vertical="center"/>
    </xf>
    <xf numFmtId="10" fontId="9" fillId="59" borderId="0" xfId="106" applyNumberFormat="1" applyFill="1" applyAlignment="1" applyProtection="1">
      <alignment horizontal="right" vertical="center"/>
      <protection locked="0"/>
    </xf>
    <xf numFmtId="293" fontId="9" fillId="32" borderId="0" xfId="106" applyNumberFormat="1" applyFill="1" applyAlignment="1">
      <alignment horizontal="left" vertical="center"/>
    </xf>
    <xf numFmtId="10" fontId="9" fillId="32" borderId="0" xfId="106" applyNumberFormat="1" applyFill="1"/>
    <xf numFmtId="293" fontId="9" fillId="32" borderId="0" xfId="106" applyNumberFormat="1" applyFill="1" applyAlignment="1">
      <alignment horizontal="left"/>
    </xf>
    <xf numFmtId="0" fontId="352" fillId="32" borderId="0" xfId="106" applyFont="1" applyFill="1" applyBorder="1"/>
    <xf numFmtId="293" fontId="9" fillId="32" borderId="0" xfId="106" applyNumberFormat="1" applyFill="1"/>
    <xf numFmtId="0" fontId="121" fillId="32" borderId="0" xfId="106" quotePrefix="1" applyFont="1" applyFill="1" applyBorder="1"/>
    <xf numFmtId="0" fontId="353" fillId="32" borderId="0" xfId="106" applyFont="1" applyFill="1"/>
    <xf numFmtId="296" fontId="353" fillId="0" borderId="0" xfId="106" applyNumberFormat="1" applyFont="1" applyFill="1" applyAlignment="1">
      <alignment horizontal="left"/>
    </xf>
    <xf numFmtId="0" fontId="9" fillId="32" borderId="45" xfId="106" applyFill="1" applyBorder="1"/>
    <xf numFmtId="0" fontId="9" fillId="32" borderId="11" xfId="106" applyFill="1" applyBorder="1"/>
    <xf numFmtId="0" fontId="9" fillId="32" borderId="46" xfId="106" applyFill="1" applyBorder="1"/>
    <xf numFmtId="0" fontId="350" fillId="59" borderId="0" xfId="106" applyFont="1" applyFill="1" applyProtection="1">
      <protection locked="0"/>
    </xf>
    <xf numFmtId="0" fontId="11" fillId="59" borderId="0" xfId="106" applyFont="1" applyFill="1" applyProtection="1">
      <protection locked="0"/>
    </xf>
    <xf numFmtId="0" fontId="9" fillId="59" borderId="0" xfId="106" applyFill="1" applyProtection="1">
      <protection locked="0"/>
    </xf>
    <xf numFmtId="0" fontId="338" fillId="32" borderId="0" xfId="106" applyFont="1" applyFill="1" applyAlignment="1" applyProtection="1">
      <alignment vertical="center"/>
    </xf>
    <xf numFmtId="0" fontId="23" fillId="32" borderId="0" xfId="106" applyFont="1" applyFill="1" applyAlignment="1" applyProtection="1">
      <alignment vertical="center"/>
    </xf>
    <xf numFmtId="0" fontId="24" fillId="32" borderId="0" xfId="106" applyFont="1" applyFill="1" applyAlignment="1" applyProtection="1">
      <alignment vertical="center"/>
    </xf>
    <xf numFmtId="0" fontId="22" fillId="32" borderId="0" xfId="106" applyFont="1" applyFill="1" applyAlignment="1" applyProtection="1">
      <alignment vertical="center"/>
    </xf>
    <xf numFmtId="0" fontId="123" fillId="32" borderId="0" xfId="106" applyFont="1" applyFill="1" applyAlignment="1" applyProtection="1">
      <alignment vertical="center"/>
    </xf>
    <xf numFmtId="0" fontId="22" fillId="32" borderId="34" xfId="106" applyFont="1" applyFill="1" applyBorder="1" applyAlignment="1" applyProtection="1">
      <alignment vertical="center"/>
    </xf>
    <xf numFmtId="0" fontId="20" fillId="32" borderId="0" xfId="106" applyFont="1" applyFill="1" applyAlignment="1" applyProtection="1">
      <alignment vertical="center"/>
    </xf>
    <xf numFmtId="0" fontId="22" fillId="32" borderId="43" xfId="106" applyFont="1" applyFill="1" applyBorder="1" applyAlignment="1" applyProtection="1">
      <alignment vertical="center"/>
    </xf>
    <xf numFmtId="0" fontId="22" fillId="32" borderId="16" xfId="106" applyFont="1" applyFill="1" applyBorder="1" applyAlignment="1" applyProtection="1">
      <alignment vertical="center"/>
    </xf>
    <xf numFmtId="0" fontId="22" fillId="32" borderId="17" xfId="106" applyFont="1" applyFill="1" applyBorder="1" applyAlignment="1" applyProtection="1">
      <alignment vertical="center"/>
    </xf>
    <xf numFmtId="15" fontId="20" fillId="32" borderId="0" xfId="106" applyNumberFormat="1" applyFont="1" applyFill="1" applyAlignment="1" applyProtection="1">
      <alignment vertical="center"/>
    </xf>
    <xf numFmtId="0" fontId="22" fillId="32" borderId="14" xfId="106" applyFont="1" applyFill="1" applyBorder="1" applyAlignment="1" applyProtection="1">
      <alignment horizontal="center" vertical="center"/>
      <protection locked="0"/>
    </xf>
    <xf numFmtId="0" fontId="22" fillId="32" borderId="45" xfId="106" applyFont="1" applyFill="1" applyBorder="1" applyAlignment="1" applyProtection="1">
      <alignment vertical="center"/>
      <protection locked="0"/>
    </xf>
    <xf numFmtId="0" fontId="22" fillId="32" borderId="11" xfId="106" applyFont="1" applyFill="1" applyBorder="1" applyAlignment="1" applyProtection="1">
      <alignment vertical="center"/>
      <protection locked="0"/>
    </xf>
    <xf numFmtId="0" fontId="22" fillId="32" borderId="46" xfId="106" applyFont="1" applyFill="1" applyBorder="1" applyAlignment="1" applyProtection="1">
      <alignment vertical="center"/>
      <protection locked="0"/>
    </xf>
    <xf numFmtId="0" fontId="339" fillId="32" borderId="0" xfId="106" applyFont="1" applyFill="1" applyAlignment="1" applyProtection="1">
      <alignment vertical="center"/>
    </xf>
    <xf numFmtId="0" fontId="20" fillId="32" borderId="0" xfId="106" quotePrefix="1" applyFont="1" applyFill="1" applyAlignment="1" applyProtection="1">
      <alignment vertical="center"/>
    </xf>
    <xf numFmtId="0" fontId="22" fillId="32" borderId="53" xfId="106" applyFont="1" applyFill="1" applyBorder="1" applyAlignment="1" applyProtection="1">
      <alignment vertical="center"/>
    </xf>
    <xf numFmtId="0" fontId="20" fillId="32" borderId="0" xfId="106" applyFont="1" applyFill="1" applyBorder="1" applyAlignment="1" applyProtection="1">
      <alignment vertical="center"/>
    </xf>
    <xf numFmtId="4" fontId="26" fillId="40" borderId="0" xfId="106" applyNumberFormat="1" applyFont="1" applyFill="1" applyAlignment="1" applyProtection="1">
      <alignment vertical="center"/>
      <protection locked="0"/>
    </xf>
    <xf numFmtId="0" fontId="26" fillId="32" borderId="0" xfId="106" applyFont="1" applyFill="1" applyAlignment="1" applyProtection="1">
      <alignment vertical="center"/>
    </xf>
    <xf numFmtId="2" fontId="24" fillId="32" borderId="143" xfId="106" applyNumberFormat="1" applyFont="1" applyFill="1" applyBorder="1" applyAlignment="1" applyProtection="1">
      <alignment vertical="center"/>
    </xf>
    <xf numFmtId="3" fontId="26" fillId="32" borderId="0" xfId="106" applyNumberFormat="1" applyFont="1" applyFill="1" applyAlignment="1" applyProtection="1">
      <alignment vertical="center"/>
    </xf>
    <xf numFmtId="10" fontId="20" fillId="32" borderId="0" xfId="107" applyNumberFormat="1" applyFont="1" applyFill="1" applyAlignment="1" applyProtection="1">
      <alignment vertical="center"/>
    </xf>
    <xf numFmtId="16" fontId="19" fillId="32" borderId="0" xfId="106" quotePrefix="1" applyNumberFormat="1" applyFont="1" applyFill="1" applyAlignment="1" applyProtection="1">
      <alignment horizontal="right" vertical="center"/>
    </xf>
    <xf numFmtId="177" fontId="26" fillId="32" borderId="0" xfId="108" applyNumberFormat="1" applyFont="1" applyFill="1" applyBorder="1" applyAlignment="1" applyProtection="1">
      <alignment vertical="center"/>
      <protection locked="0"/>
    </xf>
    <xf numFmtId="177" fontId="35" fillId="32" borderId="0" xfId="108" applyNumberFormat="1" applyFont="1" applyFill="1" applyBorder="1" applyAlignment="1" applyProtection="1">
      <alignment vertical="center"/>
      <protection locked="0"/>
    </xf>
    <xf numFmtId="177" fontId="24" fillId="32" borderId="143" xfId="108" applyNumberFormat="1" applyFont="1" applyFill="1" applyBorder="1" applyAlignment="1" applyProtection="1">
      <alignment vertical="center"/>
    </xf>
    <xf numFmtId="0" fontId="22" fillId="32" borderId="54" xfId="106" applyFont="1" applyFill="1" applyBorder="1" applyAlignment="1" applyProtection="1">
      <alignment vertical="center"/>
    </xf>
    <xf numFmtId="177" fontId="15" fillId="32" borderId="0" xfId="106" applyNumberFormat="1" applyFont="1" applyFill="1" applyAlignment="1" applyProtection="1">
      <alignment vertical="center"/>
    </xf>
    <xf numFmtId="10" fontId="15" fillId="40" borderId="0" xfId="106" quotePrefix="1" applyNumberFormat="1" applyFont="1" applyFill="1" applyAlignment="1" applyProtection="1">
      <alignment vertical="center"/>
      <protection locked="0"/>
    </xf>
    <xf numFmtId="0" fontId="15" fillId="32" borderId="0" xfId="106" applyFont="1" applyFill="1" applyAlignment="1" applyProtection="1">
      <alignment horizontal="center" vertical="center"/>
    </xf>
    <xf numFmtId="0" fontId="15" fillId="32" borderId="0" xfId="106" applyFont="1" applyFill="1" applyBorder="1" applyAlignment="1" applyProtection="1">
      <alignment vertical="center"/>
    </xf>
    <xf numFmtId="10" fontId="15" fillId="32" borderId="0" xfId="107" applyNumberFormat="1" applyFont="1" applyFill="1" applyAlignment="1" applyProtection="1">
      <alignment vertical="center"/>
    </xf>
    <xf numFmtId="0" fontId="15" fillId="32" borderId="0" xfId="106" applyFont="1" applyFill="1" applyAlignment="1" applyProtection="1">
      <alignment vertical="center"/>
    </xf>
    <xf numFmtId="10" fontId="15" fillId="32" borderId="0" xfId="106" applyNumberFormat="1" applyFont="1" applyFill="1" applyAlignment="1" applyProtection="1">
      <alignment vertical="center"/>
    </xf>
    <xf numFmtId="0" fontId="20" fillId="32" borderId="0" xfId="106" applyFont="1" applyFill="1" applyAlignment="1" applyProtection="1">
      <alignment horizontal="left" vertical="center"/>
    </xf>
    <xf numFmtId="0" fontId="24" fillId="32" borderId="0" xfId="106" applyFont="1" applyFill="1" applyAlignment="1" applyProtection="1">
      <alignment horizontal="left" vertical="center"/>
    </xf>
    <xf numFmtId="0" fontId="22" fillId="32" borderId="0" xfId="106" applyFont="1" applyFill="1" applyAlignment="1" applyProtection="1">
      <alignment horizontal="left" vertical="center"/>
    </xf>
    <xf numFmtId="0" fontId="29" fillId="32" borderId="23" xfId="109" applyFont="1" applyFill="1" applyBorder="1" applyAlignment="1" applyProtection="1">
      <alignment horizontal="center" vertical="center" wrapText="1"/>
    </xf>
    <xf numFmtId="0" fontId="29" fillId="32" borderId="93" xfId="109" applyFont="1" applyFill="1" applyBorder="1" applyAlignment="1" applyProtection="1">
      <alignment horizontal="center" vertical="center" wrapText="1"/>
    </xf>
    <xf numFmtId="0" fontId="29" fillId="32" borderId="63" xfId="106" applyFont="1" applyFill="1" applyBorder="1" applyAlignment="1" applyProtection="1">
      <alignment horizontal="center" vertical="center" wrapText="1"/>
    </xf>
    <xf numFmtId="289" fontId="14" fillId="32" borderId="25" xfId="109" applyNumberFormat="1" applyFont="1" applyFill="1" applyBorder="1" applyAlignment="1" applyProtection="1">
      <alignment horizontal="center" vertical="center"/>
    </xf>
    <xf numFmtId="282" fontId="15" fillId="32" borderId="81" xfId="108" applyNumberFormat="1" applyFont="1" applyFill="1" applyBorder="1" applyAlignment="1" applyProtection="1">
      <alignment vertical="center"/>
    </xf>
    <xf numFmtId="4" fontId="15" fillId="32" borderId="48" xfId="106" applyNumberFormat="1" applyFont="1" applyFill="1" applyBorder="1" applyAlignment="1" applyProtection="1">
      <alignment horizontal="center" vertical="center"/>
    </xf>
    <xf numFmtId="177" fontId="15" fillId="32" borderId="92" xfId="108" applyNumberFormat="1" applyFont="1" applyFill="1" applyBorder="1" applyAlignment="1" applyProtection="1">
      <alignment vertical="center"/>
    </xf>
    <xf numFmtId="289" fontId="14" fillId="32" borderId="49" xfId="109" applyNumberFormat="1" applyFont="1" applyFill="1" applyBorder="1" applyAlignment="1" applyProtection="1">
      <alignment horizontal="center" vertical="center"/>
    </xf>
    <xf numFmtId="282" fontId="15" fillId="32" borderId="10" xfId="108" applyNumberFormat="1" applyFont="1" applyFill="1" applyBorder="1" applyAlignment="1" applyProtection="1">
      <alignment vertical="center"/>
    </xf>
    <xf numFmtId="4" fontId="15" fillId="32" borderId="13" xfId="106" applyNumberFormat="1" applyFont="1" applyFill="1" applyBorder="1" applyAlignment="1" applyProtection="1">
      <alignment horizontal="center" vertical="center"/>
    </xf>
    <xf numFmtId="177" fontId="15" fillId="32" borderId="105" xfId="108" applyNumberFormat="1" applyFont="1" applyFill="1" applyBorder="1" applyAlignment="1" applyProtection="1">
      <alignment vertical="center"/>
    </xf>
    <xf numFmtId="289" fontId="14" fillId="32" borderId="50" xfId="109" applyNumberFormat="1" applyFont="1" applyFill="1" applyBorder="1" applyAlignment="1" applyProtection="1">
      <alignment horizontal="center" vertical="center"/>
    </xf>
    <xf numFmtId="282" fontId="15" fillId="32" borderId="82" xfId="108" applyNumberFormat="1" applyFont="1" applyFill="1" applyBorder="1" applyAlignment="1" applyProtection="1">
      <alignment vertical="center"/>
    </xf>
    <xf numFmtId="4" fontId="15" fillId="32" borderId="51" xfId="106" applyNumberFormat="1" applyFont="1" applyFill="1" applyBorder="1" applyAlignment="1" applyProtection="1">
      <alignment horizontal="center" vertical="center"/>
    </xf>
    <xf numFmtId="177" fontId="15" fillId="32" borderId="240" xfId="108" applyNumberFormat="1" applyFont="1" applyFill="1" applyBorder="1" applyAlignment="1" applyProtection="1">
      <alignment vertical="center"/>
    </xf>
    <xf numFmtId="0" fontId="15" fillId="32" borderId="0" xfId="106" applyFont="1" applyFill="1" applyAlignment="1" applyProtection="1">
      <alignment horizontal="right" vertical="center"/>
    </xf>
    <xf numFmtId="177" fontId="20" fillId="32" borderId="36" xfId="106" applyNumberFormat="1" applyFont="1" applyFill="1" applyBorder="1" applyAlignment="1" applyProtection="1">
      <alignment vertical="center"/>
    </xf>
    <xf numFmtId="0" fontId="20" fillId="32" borderId="0" xfId="106" applyFont="1" applyFill="1" applyBorder="1" applyAlignment="1" applyProtection="1">
      <alignment horizontal="right" vertical="center"/>
    </xf>
    <xf numFmtId="291" fontId="20" fillId="32" borderId="0" xfId="106" applyNumberFormat="1" applyFont="1" applyFill="1" applyBorder="1" applyAlignment="1" applyProtection="1">
      <alignment vertical="center"/>
    </xf>
    <xf numFmtId="10" fontId="336" fillId="32" borderId="0" xfId="107" applyNumberFormat="1" applyFont="1" applyFill="1" applyBorder="1" applyAlignment="1" applyProtection="1">
      <alignment horizontal="center" vertical="center"/>
    </xf>
    <xf numFmtId="0" fontId="22" fillId="32" borderId="0" xfId="106" applyFont="1" applyFill="1" applyBorder="1" applyAlignment="1" applyProtection="1">
      <alignment vertical="center"/>
    </xf>
    <xf numFmtId="177" fontId="22" fillId="32" borderId="0" xfId="106" applyNumberFormat="1" applyFont="1" applyFill="1" applyBorder="1" applyAlignment="1" applyProtection="1">
      <alignment vertical="center"/>
    </xf>
    <xf numFmtId="177" fontId="20" fillId="32" borderId="143" xfId="106" applyNumberFormat="1" applyFont="1" applyFill="1" applyBorder="1" applyAlignment="1" applyProtection="1">
      <alignment vertical="center"/>
    </xf>
    <xf numFmtId="0" fontId="15" fillId="32" borderId="0" xfId="106" applyFont="1" applyFill="1" applyBorder="1" applyAlignment="1" applyProtection="1">
      <alignment horizontal="left" vertical="center"/>
    </xf>
    <xf numFmtId="10" fontId="22" fillId="32" borderId="0" xfId="106" applyNumberFormat="1" applyFont="1" applyFill="1" applyBorder="1" applyAlignment="1" applyProtection="1">
      <alignment vertical="center"/>
    </xf>
    <xf numFmtId="0" fontId="20" fillId="32" borderId="54" xfId="106" applyFont="1" applyFill="1" applyBorder="1" applyAlignment="1" applyProtection="1">
      <alignment vertical="center"/>
    </xf>
    <xf numFmtId="0" fontId="22" fillId="32" borderId="22" xfId="106" applyFont="1" applyFill="1" applyBorder="1" applyAlignment="1" applyProtection="1">
      <alignment horizontal="center" vertical="center" wrapText="1"/>
    </xf>
    <xf numFmtId="0" fontId="22" fillId="32" borderId="85" xfId="109" applyFont="1" applyFill="1" applyBorder="1" applyAlignment="1" applyProtection="1">
      <alignment horizontal="center" vertical="center" wrapText="1"/>
    </xf>
    <xf numFmtId="0" fontId="22" fillId="63" borderId="27" xfId="109" applyFont="1" applyFill="1" applyBorder="1" applyAlignment="1" applyProtection="1">
      <alignment horizontal="center" vertical="center" wrapText="1"/>
    </xf>
    <xf numFmtId="0" fontId="20" fillId="32" borderId="22" xfId="106" applyFont="1" applyFill="1" applyBorder="1" applyAlignment="1" applyProtection="1">
      <alignment vertical="center" wrapText="1"/>
    </xf>
    <xf numFmtId="0" fontId="333" fillId="32" borderId="0" xfId="106" applyFont="1" applyFill="1" applyAlignment="1" applyProtection="1">
      <alignment vertical="center"/>
    </xf>
    <xf numFmtId="289" fontId="22" fillId="32" borderId="25" xfId="109" applyNumberFormat="1" applyFont="1" applyFill="1" applyBorder="1" applyAlignment="1" applyProtection="1">
      <alignment horizontal="center" vertical="center"/>
    </xf>
    <xf numFmtId="282" fontId="15" fillId="32" borderId="48" xfId="108" applyNumberFormat="1" applyFont="1" applyFill="1" applyBorder="1" applyAlignment="1" applyProtection="1">
      <alignment vertical="center"/>
    </xf>
    <xf numFmtId="282" fontId="20" fillId="32" borderId="48" xfId="108" applyNumberFormat="1" applyFont="1" applyFill="1" applyBorder="1" applyAlignment="1" applyProtection="1">
      <alignment vertical="center"/>
    </xf>
    <xf numFmtId="289" fontId="336" fillId="63" borderId="26" xfId="109" applyNumberFormat="1" applyFont="1" applyFill="1" applyBorder="1" applyAlignment="1" applyProtection="1">
      <alignment horizontal="center" vertical="center"/>
    </xf>
    <xf numFmtId="289" fontId="22" fillId="32" borderId="49" xfId="109" applyNumberFormat="1" applyFont="1" applyFill="1" applyBorder="1" applyAlignment="1" applyProtection="1">
      <alignment horizontal="center" vertical="center"/>
    </xf>
    <xf numFmtId="282" fontId="15" fillId="32" borderId="13" xfId="108" applyNumberFormat="1" applyFont="1" applyFill="1" applyBorder="1" applyAlignment="1" applyProtection="1">
      <alignment vertical="center"/>
    </xf>
    <xf numFmtId="282" fontId="20" fillId="32" borderId="13" xfId="108" applyNumberFormat="1" applyFont="1" applyFill="1" applyBorder="1" applyAlignment="1" applyProtection="1">
      <alignment vertical="center"/>
    </xf>
    <xf numFmtId="289" fontId="336" fillId="63" borderId="29" xfId="109" applyNumberFormat="1" applyFont="1" applyFill="1" applyBorder="1" applyAlignment="1" applyProtection="1">
      <alignment horizontal="center" vertical="center"/>
    </xf>
    <xf numFmtId="289" fontId="22" fillId="32" borderId="50" xfId="109" applyNumberFormat="1" applyFont="1" applyFill="1" applyBorder="1" applyAlignment="1" applyProtection="1">
      <alignment horizontal="center" vertical="center"/>
    </xf>
    <xf numFmtId="282" fontId="15" fillId="32" borderId="51" xfId="108" applyNumberFormat="1" applyFont="1" applyFill="1" applyBorder="1" applyAlignment="1" applyProtection="1">
      <alignment vertical="center"/>
    </xf>
    <xf numFmtId="282" fontId="20" fillId="32" borderId="51" xfId="108" applyNumberFormat="1" applyFont="1" applyFill="1" applyBorder="1" applyAlignment="1" applyProtection="1">
      <alignment vertical="center"/>
    </xf>
    <xf numFmtId="289" fontId="336" fillId="63" borderId="32" xfId="109" applyNumberFormat="1" applyFont="1" applyFill="1" applyBorder="1" applyAlignment="1" applyProtection="1">
      <alignment horizontal="center" vertical="center"/>
    </xf>
    <xf numFmtId="0" fontId="20" fillId="32" borderId="0" xfId="106" applyFont="1" applyFill="1" applyAlignment="1" applyProtection="1">
      <alignment horizontal="right" vertical="center"/>
    </xf>
    <xf numFmtId="0" fontId="335" fillId="32" borderId="54" xfId="106" applyFont="1" applyFill="1" applyBorder="1" applyAlignment="1" applyProtection="1">
      <alignment vertical="center"/>
    </xf>
    <xf numFmtId="0" fontId="335" fillId="32" borderId="0" xfId="106" applyFont="1" applyFill="1" applyBorder="1" applyAlignment="1" applyProtection="1">
      <alignment vertical="center"/>
    </xf>
    <xf numFmtId="0" fontId="337" fillId="32" borderId="36" xfId="106" applyFont="1" applyFill="1" applyBorder="1" applyAlignment="1" applyProtection="1">
      <alignment vertical="center"/>
    </xf>
    <xf numFmtId="0" fontId="333" fillId="32" borderId="36" xfId="106" applyFont="1" applyFill="1" applyBorder="1" applyAlignment="1" applyProtection="1">
      <alignment vertical="center"/>
    </xf>
    <xf numFmtId="0" fontId="333" fillId="32" borderId="0" xfId="106" applyFont="1" applyFill="1" applyBorder="1" applyAlignment="1" applyProtection="1">
      <alignment vertical="center"/>
    </xf>
    <xf numFmtId="0" fontId="333" fillId="32" borderId="53" xfId="106" applyFont="1" applyFill="1" applyBorder="1" applyAlignment="1" applyProtection="1">
      <alignment vertical="center"/>
    </xf>
    <xf numFmtId="289" fontId="24" fillId="32" borderId="90" xfId="109" applyNumberFormat="1" applyFont="1" applyFill="1" applyBorder="1" applyAlignment="1" applyProtection="1">
      <alignment horizontal="right" vertical="center"/>
    </xf>
    <xf numFmtId="1" fontId="22" fillId="32" borderId="33" xfId="108" applyNumberFormat="1" applyFont="1" applyFill="1" applyBorder="1" applyAlignment="1" applyProtection="1">
      <alignment horizontal="center" vertical="center"/>
      <protection locked="0"/>
    </xf>
    <xf numFmtId="0" fontId="333" fillId="32" borderId="43" xfId="106" applyFont="1" applyFill="1" applyBorder="1" applyAlignment="1" applyProtection="1">
      <alignment vertical="center"/>
    </xf>
    <xf numFmtId="0" fontId="22" fillId="32" borderId="34" xfId="109" applyFont="1" applyFill="1" applyBorder="1" applyAlignment="1" applyProtection="1">
      <alignment horizontal="center" vertical="center" wrapText="1"/>
    </xf>
    <xf numFmtId="0" fontId="22" fillId="32" borderId="58" xfId="109" applyFont="1" applyFill="1" applyBorder="1" applyAlignment="1" applyProtection="1">
      <alignment horizontal="center" vertical="center" wrapText="1"/>
    </xf>
    <xf numFmtId="0" fontId="333" fillId="32" borderId="0" xfId="106" applyFont="1" applyFill="1" applyBorder="1" applyAlignment="1" applyProtection="1">
      <alignment horizontal="center" vertical="center" wrapText="1"/>
    </xf>
    <xf numFmtId="289" fontId="336" fillId="32" borderId="48" xfId="109" applyNumberFormat="1" applyFont="1" applyFill="1" applyBorder="1" applyAlignment="1" applyProtection="1">
      <alignment horizontal="center" vertical="center"/>
    </xf>
    <xf numFmtId="2" fontId="20" fillId="32" borderId="48" xfId="108" applyNumberFormat="1" applyFont="1" applyFill="1" applyBorder="1" applyAlignment="1" applyProtection="1">
      <alignment vertical="center"/>
      <protection locked="0"/>
    </xf>
    <xf numFmtId="177" fontId="20" fillId="32" borderId="26" xfId="108" applyNumberFormat="1" applyFont="1" applyFill="1" applyBorder="1" applyAlignment="1" applyProtection="1">
      <alignment vertical="center"/>
    </xf>
    <xf numFmtId="3" fontId="333" fillId="32" borderId="0" xfId="106" applyNumberFormat="1" applyFont="1" applyFill="1" applyBorder="1" applyAlignment="1" applyProtection="1">
      <alignment vertical="center"/>
      <protection locked="0"/>
    </xf>
    <xf numFmtId="289" fontId="336" fillId="32" borderId="13" xfId="109" applyNumberFormat="1" applyFont="1" applyFill="1" applyBorder="1" applyAlignment="1" applyProtection="1">
      <alignment horizontal="center" vertical="center"/>
    </xf>
    <xf numFmtId="2" fontId="20" fillId="32" borderId="13" xfId="108" applyNumberFormat="1" applyFont="1" applyFill="1" applyBorder="1" applyAlignment="1" applyProtection="1">
      <alignment vertical="center"/>
      <protection locked="0"/>
    </xf>
    <xf numFmtId="177" fontId="20" fillId="32" borderId="29" xfId="108" applyNumberFormat="1" applyFont="1" applyFill="1" applyBorder="1" applyAlignment="1" applyProtection="1">
      <alignment vertical="center"/>
    </xf>
    <xf numFmtId="289" fontId="336" fillId="32" borderId="51" xfId="109" applyNumberFormat="1" applyFont="1" applyFill="1" applyBorder="1" applyAlignment="1" applyProtection="1">
      <alignment horizontal="center" vertical="center"/>
    </xf>
    <xf numFmtId="2" fontId="20" fillId="32" borderId="51" xfId="108" applyNumberFormat="1" applyFont="1" applyFill="1" applyBorder="1" applyAlignment="1" applyProtection="1">
      <alignment vertical="center"/>
      <protection locked="0"/>
    </xf>
    <xf numFmtId="177" fontId="20" fillId="32" borderId="32" xfId="108" applyNumberFormat="1" applyFont="1" applyFill="1" applyBorder="1" applyAlignment="1" applyProtection="1">
      <alignment vertical="center"/>
    </xf>
    <xf numFmtId="0" fontId="20" fillId="32" borderId="45" xfId="106" applyFont="1" applyFill="1" applyBorder="1" applyAlignment="1" applyProtection="1">
      <alignment vertical="center"/>
    </xf>
    <xf numFmtId="0" fontId="20" fillId="32" borderId="46" xfId="106" applyFont="1" applyFill="1" applyBorder="1" applyAlignment="1" applyProtection="1">
      <alignment vertical="center"/>
    </xf>
    <xf numFmtId="2" fontId="22" fillId="32" borderId="46" xfId="106" applyNumberFormat="1" applyFont="1" applyFill="1" applyBorder="1" applyAlignment="1" applyProtection="1">
      <alignment vertical="center"/>
    </xf>
    <xf numFmtId="177" fontId="22" fillId="63" borderId="46" xfId="106" applyNumberFormat="1" applyFont="1" applyFill="1" applyBorder="1" applyAlignment="1" applyProtection="1">
      <alignment vertical="center"/>
    </xf>
    <xf numFmtId="3" fontId="335" fillId="32" borderId="0" xfId="106" applyNumberFormat="1" applyFont="1" applyFill="1" applyBorder="1" applyAlignment="1" applyProtection="1">
      <alignment vertical="center"/>
    </xf>
    <xf numFmtId="0" fontId="20" fillId="32" borderId="43" xfId="106" applyFont="1" applyFill="1" applyBorder="1" applyAlignment="1" applyProtection="1">
      <alignment vertical="center"/>
    </xf>
    <xf numFmtId="0" fontId="20" fillId="32" borderId="17" xfId="106" applyFont="1" applyFill="1" applyBorder="1" applyAlignment="1" applyProtection="1">
      <alignment vertical="center"/>
    </xf>
    <xf numFmtId="10" fontId="20" fillId="32" borderId="43" xfId="107" applyNumberFormat="1" applyFont="1" applyFill="1" applyBorder="1" applyAlignment="1" applyProtection="1">
      <alignment vertical="center"/>
    </xf>
    <xf numFmtId="0" fontId="20" fillId="32" borderId="34" xfId="106" applyFont="1" applyFill="1" applyBorder="1" applyAlignment="1" applyProtection="1">
      <alignment vertical="center"/>
    </xf>
    <xf numFmtId="0" fontId="20" fillId="32" borderId="115" xfId="106" applyFont="1" applyFill="1" applyBorder="1" applyAlignment="1" applyProtection="1">
      <alignment vertical="center"/>
    </xf>
    <xf numFmtId="0" fontId="20" fillId="32" borderId="44" xfId="106" applyFont="1" applyFill="1" applyBorder="1" applyAlignment="1" applyProtection="1">
      <alignment vertical="center"/>
    </xf>
    <xf numFmtId="177" fontId="20" fillId="32" borderId="115" xfId="106" applyNumberFormat="1" applyFont="1" applyFill="1" applyBorder="1" applyAlignment="1" applyProtection="1">
      <alignment vertical="center"/>
    </xf>
    <xf numFmtId="0" fontId="20" fillId="32" borderId="22" xfId="106" applyFont="1" applyFill="1" applyBorder="1" applyAlignment="1" applyProtection="1">
      <alignment vertical="center"/>
    </xf>
    <xf numFmtId="10" fontId="20" fillId="32" borderId="13" xfId="107" applyNumberFormat="1" applyFont="1" applyFill="1" applyBorder="1" applyAlignment="1" applyProtection="1">
      <alignment vertical="center"/>
    </xf>
    <xf numFmtId="0" fontId="20" fillId="32" borderId="15" xfId="106" applyFont="1" applyFill="1" applyBorder="1" applyAlignment="1" applyProtection="1">
      <alignment vertical="center"/>
    </xf>
    <xf numFmtId="0" fontId="20" fillId="32" borderId="12" xfId="106" applyFont="1" applyFill="1" applyBorder="1" applyAlignment="1" applyProtection="1">
      <alignment vertical="center"/>
    </xf>
    <xf numFmtId="290" fontId="15" fillId="32" borderId="15" xfId="106" applyNumberFormat="1" applyFont="1" applyFill="1" applyBorder="1" applyAlignment="1" applyProtection="1">
      <alignment horizontal="right" vertical="center"/>
    </xf>
    <xf numFmtId="177" fontId="22" fillId="63" borderId="13" xfId="106" applyNumberFormat="1" applyFont="1" applyFill="1" applyBorder="1" applyAlignment="1" applyProtection="1">
      <alignment vertical="center"/>
    </xf>
    <xf numFmtId="0" fontId="11" fillId="32" borderId="0" xfId="106" applyFont="1" applyFill="1" applyAlignment="1" applyProtection="1">
      <alignment horizontal="centerContinuous" vertical="center"/>
    </xf>
    <xf numFmtId="0" fontId="22" fillId="63" borderId="35" xfId="106" applyFont="1" applyFill="1" applyBorder="1" applyAlignment="1" applyProtection="1">
      <alignment vertical="center"/>
    </xf>
    <xf numFmtId="0" fontId="22" fillId="63" borderId="36" xfId="106" applyFont="1" applyFill="1" applyBorder="1" applyAlignment="1" applyProtection="1">
      <alignment vertical="center"/>
    </xf>
    <xf numFmtId="0" fontId="20" fillId="63" borderId="52" xfId="106" applyFont="1" applyFill="1" applyBorder="1" applyAlignment="1" applyProtection="1">
      <alignment vertical="center"/>
    </xf>
    <xf numFmtId="0" fontId="80" fillId="32" borderId="0" xfId="106" applyFont="1" applyFill="1" applyAlignment="1" applyProtection="1">
      <alignment vertical="center"/>
    </xf>
    <xf numFmtId="0" fontId="20" fillId="63" borderId="39" xfId="106" applyFont="1" applyFill="1" applyBorder="1" applyAlignment="1" applyProtection="1">
      <alignment vertical="center"/>
    </xf>
    <xf numFmtId="0" fontId="20" fillId="63" borderId="40" xfId="106" applyFont="1" applyFill="1" applyBorder="1" applyAlignment="1" applyProtection="1">
      <alignment vertical="center"/>
    </xf>
    <xf numFmtId="177" fontId="22" fillId="63" borderId="41" xfId="106" applyNumberFormat="1" applyFont="1" applyFill="1" applyBorder="1" applyAlignment="1" applyProtection="1">
      <alignment vertical="center"/>
    </xf>
    <xf numFmtId="0" fontId="15" fillId="0" borderId="0" xfId="0" applyFont="1" applyFill="1" applyProtection="1">
      <protection locked="0"/>
    </xf>
    <xf numFmtId="0" fontId="24" fillId="26" borderId="0" xfId="58" quotePrefix="1" applyFont="1" applyFill="1" applyAlignment="1">
      <alignment horizontal="center"/>
    </xf>
    <xf numFmtId="0" fontId="26" fillId="26" borderId="0" xfId="58" applyFont="1" applyFill="1" applyAlignment="1">
      <alignment horizontal="center"/>
    </xf>
    <xf numFmtId="0" fontId="24" fillId="26" borderId="0" xfId="58" applyFont="1" applyFill="1" applyAlignment="1">
      <alignment horizontal="center"/>
    </xf>
    <xf numFmtId="0" fontId="26" fillId="26" borderId="0" xfId="58" quotePrefix="1" applyFont="1" applyFill="1" applyAlignment="1">
      <alignment horizontal="center"/>
    </xf>
    <xf numFmtId="0" fontId="24" fillId="34" borderId="13" xfId="58" applyFont="1" applyFill="1" applyBorder="1" applyAlignment="1">
      <alignment horizontal="center" vertical="center"/>
    </xf>
    <xf numFmtId="0" fontId="26" fillId="26" borderId="13" xfId="58" applyFont="1" applyFill="1" applyBorder="1" applyAlignment="1">
      <alignment horizontal="center"/>
    </xf>
    <xf numFmtId="0" fontId="24" fillId="26" borderId="0" xfId="58" applyFont="1" applyFill="1" applyAlignment="1">
      <alignment horizontal="center" vertical="center"/>
    </xf>
    <xf numFmtId="2" fontId="152" fillId="0" borderId="48" xfId="0" applyNumberFormat="1" applyFont="1" applyFill="1" applyBorder="1" applyAlignment="1" applyProtection="1">
      <alignment horizontal="right" vertical="center"/>
    </xf>
    <xf numFmtId="181" fontId="152" fillId="0" borderId="14" xfId="0" applyNumberFormat="1" applyFont="1" applyFill="1" applyBorder="1" applyAlignment="1" applyProtection="1">
      <alignment horizontal="right" vertical="center"/>
    </xf>
    <xf numFmtId="186" fontId="182" fillId="32" borderId="0" xfId="0" applyNumberFormat="1" applyFont="1" applyFill="1" applyBorder="1" applyAlignment="1">
      <alignment horizontal="right"/>
    </xf>
    <xf numFmtId="0" fontId="24" fillId="26" borderId="0" xfId="58" applyFont="1" applyFill="1" applyAlignment="1">
      <alignment horizontal="center" vertical="center"/>
    </xf>
    <xf numFmtId="0" fontId="26" fillId="26" borderId="0" xfId="58" quotePrefix="1" applyFont="1" applyFill="1" applyAlignment="1">
      <alignment horizontal="center"/>
    </xf>
    <xf numFmtId="0" fontId="24" fillId="26" borderId="0" xfId="58" applyFont="1" applyFill="1" applyAlignment="1">
      <alignment horizontal="center"/>
    </xf>
    <xf numFmtId="272" fontId="179" fillId="26" borderId="0" xfId="0" applyNumberFormat="1" applyFont="1" applyFill="1" applyBorder="1" applyAlignment="1" applyProtection="1">
      <alignment horizontal="center" vertical="center"/>
    </xf>
    <xf numFmtId="191" fontId="163" fillId="26" borderId="44" xfId="0" applyNumberFormat="1" applyFont="1" applyFill="1" applyBorder="1" applyAlignment="1" applyProtection="1">
      <alignment horizontal="left" vertical="center"/>
    </xf>
    <xf numFmtId="0" fontId="96" fillId="32" borderId="0" xfId="58" applyFont="1" applyFill="1" applyProtection="1"/>
    <xf numFmtId="0" fontId="189" fillId="32" borderId="0" xfId="58" applyFont="1" applyFill="1" applyProtection="1"/>
    <xf numFmtId="0" fontId="125" fillId="32" borderId="52" xfId="58" applyFont="1" applyFill="1" applyBorder="1" applyAlignment="1" applyProtection="1">
      <alignment horizontal="center"/>
    </xf>
    <xf numFmtId="14" fontId="125" fillId="32" borderId="41" xfId="58" applyNumberFormat="1" applyFont="1" applyFill="1" applyBorder="1" applyAlignment="1" applyProtection="1">
      <alignment horizontal="center"/>
    </xf>
    <xf numFmtId="217" fontId="96" fillId="32" borderId="52" xfId="58" applyNumberFormat="1" applyFont="1" applyFill="1" applyBorder="1" applyProtection="1"/>
    <xf numFmtId="217" fontId="96" fillId="32" borderId="144" xfId="58" applyNumberFormat="1" applyFont="1" applyFill="1" applyBorder="1" applyAlignment="1" applyProtection="1">
      <alignment horizontal="center" vertical="center"/>
    </xf>
    <xf numFmtId="220" fontId="96" fillId="32" borderId="38" xfId="58" applyNumberFormat="1" applyFont="1" applyFill="1" applyBorder="1" applyProtection="1"/>
    <xf numFmtId="217" fontId="139" fillId="32" borderId="41" xfId="58" applyNumberFormat="1" applyFont="1" applyFill="1" applyBorder="1" applyAlignment="1" applyProtection="1">
      <alignment horizontal="center" vertical="center"/>
    </xf>
    <xf numFmtId="184" fontId="125" fillId="32" borderId="92" xfId="58" applyNumberFormat="1" applyFont="1" applyFill="1" applyBorder="1" applyProtection="1"/>
    <xf numFmtId="184" fontId="125" fillId="32" borderId="105" xfId="58" applyNumberFormat="1" applyFont="1" applyFill="1" applyBorder="1" applyProtection="1"/>
    <xf numFmtId="184" fontId="125" fillId="32" borderId="91" xfId="58" applyNumberFormat="1" applyFont="1" applyFill="1" applyBorder="1" applyProtection="1"/>
    <xf numFmtId="186" fontId="88" fillId="0" borderId="14" xfId="0" applyNumberFormat="1" applyFont="1" applyFill="1" applyBorder="1" applyAlignment="1">
      <alignment horizontal="right"/>
    </xf>
    <xf numFmtId="186" fontId="88" fillId="0" borderId="60" xfId="0" applyNumberFormat="1" applyFont="1" applyFill="1" applyBorder="1" applyAlignment="1">
      <alignment horizontal="right"/>
    </xf>
    <xf numFmtId="186" fontId="182" fillId="0" borderId="26" xfId="0" applyNumberFormat="1" applyFont="1" applyFill="1" applyBorder="1" applyAlignment="1">
      <alignment horizontal="right"/>
    </xf>
    <xf numFmtId="186" fontId="223" fillId="0" borderId="32" xfId="0" applyNumberFormat="1" applyFont="1" applyFill="1" applyBorder="1" applyAlignment="1">
      <alignment horizontal="right"/>
    </xf>
    <xf numFmtId="0" fontId="24" fillId="32" borderId="0" xfId="58" applyNumberFormat="1" applyFont="1" applyFill="1" applyAlignment="1">
      <alignment horizontal="left"/>
    </xf>
    <xf numFmtId="0" fontId="24" fillId="32" borderId="0" xfId="58" applyFont="1" applyFill="1" applyAlignment="1">
      <alignment horizontal="left"/>
    </xf>
    <xf numFmtId="184" fontId="24" fillId="32" borderId="0" xfId="32" applyFont="1" applyFill="1" applyAlignment="1">
      <alignment horizontal="right"/>
    </xf>
    <xf numFmtId="0" fontId="24" fillId="32" borderId="0" xfId="58" applyFont="1" applyFill="1" applyAlignment="1">
      <alignment horizontal="right"/>
    </xf>
    <xf numFmtId="0" fontId="24" fillId="32" borderId="0" xfId="58" applyFont="1" applyFill="1" applyAlignment="1"/>
    <xf numFmtId="217" fontId="80" fillId="32" borderId="0" xfId="32" applyNumberFormat="1" applyFont="1" applyFill="1" applyAlignment="1">
      <alignment vertical="center"/>
    </xf>
    <xf numFmtId="0" fontId="15" fillId="0" borderId="35" xfId="58" applyFont="1" applyFill="1" applyBorder="1"/>
    <xf numFmtId="0" fontId="15" fillId="0" borderId="36" xfId="58" applyFont="1" applyFill="1" applyBorder="1"/>
    <xf numFmtId="0" fontId="15" fillId="0" borderId="52" xfId="58" applyFont="1" applyFill="1" applyBorder="1"/>
    <xf numFmtId="0" fontId="15" fillId="0" borderId="37" xfId="58" applyFont="1" applyFill="1" applyBorder="1"/>
    <xf numFmtId="0" fontId="15" fillId="0" borderId="0" xfId="58" applyFont="1" applyFill="1" applyBorder="1"/>
    <xf numFmtId="0" fontId="15" fillId="0" borderId="38" xfId="58" applyFont="1" applyFill="1" applyBorder="1"/>
    <xf numFmtId="0" fontId="15" fillId="0" borderId="39" xfId="58" applyFont="1" applyFill="1" applyBorder="1"/>
    <xf numFmtId="0" fontId="15" fillId="0" borderId="40" xfId="58" applyFont="1" applyFill="1" applyBorder="1"/>
    <xf numFmtId="0" fontId="15" fillId="0" borderId="41" xfId="58" applyFont="1" applyFill="1" applyBorder="1"/>
    <xf numFmtId="0" fontId="26" fillId="32" borderId="0" xfId="0" applyFont="1" applyFill="1" applyAlignment="1">
      <alignment vertical="center"/>
    </xf>
    <xf numFmtId="0" fontId="26" fillId="32" borderId="0" xfId="58" applyFont="1" applyFill="1" applyAlignment="1">
      <alignment horizontal="centerContinuous"/>
    </xf>
    <xf numFmtId="0" fontId="15" fillId="32" borderId="0" xfId="58" applyFont="1" applyFill="1"/>
    <xf numFmtId="16" fontId="33" fillId="26" borderId="0" xfId="58" quotePrefix="1" applyNumberFormat="1" applyFont="1" applyFill="1"/>
    <xf numFmtId="0" fontId="33" fillId="26" borderId="0" xfId="58" applyFont="1" applyFill="1"/>
    <xf numFmtId="0" fontId="69" fillId="26" borderId="0" xfId="58" applyFont="1" applyFill="1"/>
    <xf numFmtId="0" fontId="32" fillId="26" borderId="0" xfId="58" applyFont="1" applyFill="1"/>
    <xf numFmtId="0" fontId="33" fillId="26" borderId="0" xfId="58" applyFont="1" applyFill="1" applyAlignment="1">
      <alignment vertical="center"/>
    </xf>
    <xf numFmtId="0" fontId="354" fillId="26" borderId="0" xfId="58" applyFont="1" applyFill="1" applyAlignment="1">
      <alignment horizontal="center" vertical="center" wrapText="1"/>
    </xf>
    <xf numFmtId="0" fontId="33" fillId="26" borderId="0" xfId="58" applyFont="1" applyFill="1" applyAlignment="1">
      <alignment horizontal="left" vertical="center"/>
    </xf>
    <xf numFmtId="0" fontId="33" fillId="26" borderId="0" xfId="58" applyFont="1" applyFill="1" applyAlignment="1">
      <alignment horizontal="left"/>
    </xf>
    <xf numFmtId="271" fontId="354" fillId="26" borderId="0" xfId="58" applyNumberFormat="1" applyFont="1" applyFill="1" applyAlignment="1">
      <alignment horizontal="center"/>
    </xf>
    <xf numFmtId="0" fontId="355" fillId="26" borderId="0" xfId="58" applyFont="1" applyFill="1"/>
    <xf numFmtId="0" fontId="33" fillId="26" borderId="0" xfId="58" quotePrefix="1" applyFont="1" applyFill="1" applyAlignment="1">
      <alignment horizontal="center"/>
    </xf>
    <xf numFmtId="0" fontId="33" fillId="26" borderId="0" xfId="58" applyFont="1" applyFill="1" applyAlignment="1">
      <alignment horizontal="center"/>
    </xf>
    <xf numFmtId="0" fontId="356" fillId="26" borderId="0" xfId="58" quotePrefix="1" applyFont="1" applyFill="1" applyAlignment="1">
      <alignment horizontal="center"/>
    </xf>
    <xf numFmtId="0" fontId="356" fillId="26" borderId="0" xfId="58" applyFont="1" applyFill="1" applyAlignment="1">
      <alignment horizontal="center"/>
    </xf>
    <xf numFmtId="0" fontId="356" fillId="26" borderId="0" xfId="58" applyFont="1" applyFill="1" applyAlignment="1">
      <alignment vertical="center"/>
    </xf>
    <xf numFmtId="0" fontId="79" fillId="26" borderId="0" xfId="58" applyFont="1" applyFill="1" applyAlignment="1">
      <alignment vertical="center"/>
    </xf>
    <xf numFmtId="0" fontId="356" fillId="26" borderId="0" xfId="58" applyFont="1" applyFill="1"/>
    <xf numFmtId="0" fontId="79" fillId="26" borderId="0" xfId="58" applyFont="1" applyFill="1"/>
    <xf numFmtId="0" fontId="357" fillId="26" borderId="0" xfId="58" applyFont="1" applyFill="1" applyAlignment="1">
      <alignment vertical="center"/>
    </xf>
    <xf numFmtId="0" fontId="69" fillId="26" borderId="0" xfId="58" applyFont="1" applyFill="1" applyAlignment="1">
      <alignment vertical="center"/>
    </xf>
    <xf numFmtId="0" fontId="357" fillId="26" borderId="0" xfId="58" applyFont="1" applyFill="1" applyAlignment="1">
      <alignment horizontal="center"/>
    </xf>
    <xf numFmtId="0" fontId="15" fillId="0" borderId="11" xfId="58" applyFont="1" applyFill="1" applyBorder="1"/>
    <xf numFmtId="0" fontId="96" fillId="0" borderId="115" xfId="58" applyFont="1" applyFill="1" applyBorder="1" applyAlignment="1">
      <alignment horizontal="center" vertical="center"/>
    </xf>
    <xf numFmtId="0" fontId="96" fillId="0" borderId="45" xfId="58" applyFont="1" applyFill="1" applyBorder="1" applyAlignment="1">
      <alignment horizontal="center" vertical="center"/>
    </xf>
    <xf numFmtId="0" fontId="96" fillId="0" borderId="43" xfId="58" applyFont="1" applyFill="1" applyBorder="1" applyAlignment="1">
      <alignment horizontal="center" vertical="center"/>
    </xf>
    <xf numFmtId="0" fontId="15" fillId="0" borderId="0" xfId="58" applyFont="1" applyFill="1"/>
    <xf numFmtId="191" fontId="96" fillId="40" borderId="17" xfId="58" applyNumberFormat="1" applyFont="1" applyFill="1" applyBorder="1" applyAlignment="1">
      <alignment horizontal="center" vertical="center"/>
    </xf>
    <xf numFmtId="191" fontId="96" fillId="40" borderId="44" xfId="58" applyNumberFormat="1" applyFont="1" applyFill="1" applyBorder="1" applyAlignment="1">
      <alignment horizontal="center" vertical="center"/>
    </xf>
    <xf numFmtId="191" fontId="96" fillId="40" borderId="46" xfId="58" applyNumberFormat="1" applyFont="1" applyFill="1" applyBorder="1" applyAlignment="1">
      <alignment horizontal="center" vertical="center"/>
    </xf>
    <xf numFmtId="297" fontId="26" fillId="65" borderId="0" xfId="58" applyNumberFormat="1" applyFont="1" applyFill="1" applyAlignment="1">
      <alignment horizontal="left"/>
    </xf>
    <xf numFmtId="0" fontId="26" fillId="26" borderId="0" xfId="58" applyFont="1" applyFill="1" applyAlignment="1">
      <alignment horizontal="center"/>
    </xf>
    <xf numFmtId="0" fontId="26" fillId="26" borderId="0" xfId="58" quotePrefix="1" applyFont="1" applyFill="1" applyAlignment="1">
      <alignment horizontal="center"/>
    </xf>
    <xf numFmtId="188" fontId="355" fillId="26" borderId="0" xfId="32" applyNumberFormat="1" applyFont="1" applyFill="1" applyAlignment="1">
      <alignment horizontal="right"/>
    </xf>
    <xf numFmtId="4" fontId="355" fillId="26" borderId="0" xfId="58" applyNumberFormat="1" applyFont="1" applyFill="1" applyAlignment="1">
      <alignment horizontal="left"/>
    </xf>
    <xf numFmtId="189" fontId="125" fillId="34" borderId="13" xfId="58" applyNumberFormat="1" applyFont="1" applyFill="1" applyBorder="1" applyProtection="1"/>
    <xf numFmtId="44" fontId="96" fillId="32" borderId="38" xfId="58" applyNumberFormat="1" applyFont="1" applyFill="1" applyBorder="1" applyProtection="1"/>
    <xf numFmtId="44" fontId="209" fillId="32" borderId="38" xfId="58" applyNumberFormat="1" applyFont="1" applyFill="1" applyBorder="1" applyAlignment="1" applyProtection="1">
      <alignment horizontal="left" vertical="center"/>
    </xf>
    <xf numFmtId="0" fontId="15" fillId="0" borderId="238" xfId="90" applyFont="1" applyBorder="1" applyAlignment="1">
      <alignment vertical="center"/>
    </xf>
    <xf numFmtId="0" fontId="15" fillId="0" borderId="15" xfId="90" applyFont="1" applyBorder="1" applyAlignment="1">
      <alignment horizontal="center" vertical="center"/>
    </xf>
    <xf numFmtId="0" fontId="15" fillId="0" borderId="10" xfId="90" applyFont="1" applyBorder="1" applyAlignment="1">
      <alignment horizontal="center" vertical="center"/>
    </xf>
    <xf numFmtId="0" fontId="15" fillId="0" borderId="0" xfId="90" applyBorder="1"/>
    <xf numFmtId="0" fontId="20" fillId="0" borderId="0" xfId="90" applyFont="1" applyBorder="1" applyAlignment="1">
      <alignment vertical="center"/>
    </xf>
    <xf numFmtId="0" fontId="20" fillId="0" borderId="38" xfId="90" applyFont="1" applyBorder="1" applyAlignment="1">
      <alignment vertical="center"/>
    </xf>
    <xf numFmtId="0" fontId="15" fillId="0" borderId="43" xfId="0" applyFont="1" applyFill="1" applyBorder="1" applyAlignment="1" applyProtection="1">
      <alignment vertical="center"/>
    </xf>
    <xf numFmtId="0" fontId="20" fillId="0" borderId="16" xfId="90" applyFont="1" applyBorder="1" applyAlignment="1">
      <alignment vertical="center"/>
    </xf>
    <xf numFmtId="0" fontId="20" fillId="0" borderId="104" xfId="90" applyFont="1" applyBorder="1" applyAlignment="1">
      <alignment vertical="center"/>
    </xf>
    <xf numFmtId="0" fontId="15" fillId="0" borderId="115" xfId="0" applyFont="1" applyFill="1" applyBorder="1" applyAlignment="1" applyProtection="1">
      <alignment vertical="center"/>
    </xf>
    <xf numFmtId="0" fontId="20" fillId="0" borderId="115" xfId="90" applyFont="1" applyBorder="1" applyAlignment="1">
      <alignment vertical="center"/>
    </xf>
    <xf numFmtId="0" fontId="20" fillId="0" borderId="45" xfId="90" applyFont="1" applyBorder="1" applyAlignment="1">
      <alignment vertical="center"/>
    </xf>
    <xf numFmtId="0" fontId="20" fillId="0" borderId="11" xfId="90" applyFont="1" applyBorder="1" applyAlignment="1">
      <alignment vertical="center"/>
    </xf>
    <xf numFmtId="0" fontId="20" fillId="0" borderId="61" xfId="90" applyFont="1" applyBorder="1" applyAlignment="1">
      <alignment vertical="center"/>
    </xf>
    <xf numFmtId="15" fontId="20" fillId="0" borderId="37" xfId="0" applyNumberFormat="1"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Alignment="1">
      <alignment vertical="center"/>
    </xf>
    <xf numFmtId="0" fontId="22" fillId="0" borderId="0" xfId="0" applyFont="1" applyFill="1" applyBorder="1" applyAlignment="1">
      <alignment horizontal="left" vertical="center"/>
    </xf>
    <xf numFmtId="0" fontId="22" fillId="0" borderId="38" xfId="0" applyFont="1" applyFill="1" applyBorder="1" applyAlignment="1">
      <alignment horizontal="left" vertical="center"/>
    </xf>
    <xf numFmtId="0" fontId="22" fillId="64" borderId="53" xfId="90" quotePrefix="1" applyFont="1" applyFill="1" applyBorder="1" applyAlignment="1">
      <alignment vertical="center"/>
    </xf>
    <xf numFmtId="0" fontId="20" fillId="64" borderId="54" xfId="90" applyFont="1" applyFill="1" applyBorder="1" applyAlignment="1">
      <alignment vertical="center"/>
    </xf>
    <xf numFmtId="0" fontId="20" fillId="64" borderId="59" xfId="90" applyFont="1" applyFill="1" applyBorder="1" applyAlignment="1">
      <alignment vertical="center"/>
    </xf>
    <xf numFmtId="0" fontId="339" fillId="0" borderId="37" xfId="90" applyFont="1" applyFill="1" applyBorder="1" applyAlignment="1">
      <alignment vertical="center"/>
    </xf>
    <xf numFmtId="0" fontId="20" fillId="0" borderId="0" xfId="90" applyFont="1" applyFill="1" applyBorder="1" applyAlignment="1">
      <alignment vertical="center"/>
    </xf>
    <xf numFmtId="0" fontId="20" fillId="0" borderId="38" xfId="90" applyFont="1" applyFill="1" applyBorder="1" applyAlignment="1">
      <alignment vertical="center"/>
    </xf>
    <xf numFmtId="0" fontId="22" fillId="0" borderId="53" xfId="90" applyFont="1" applyBorder="1" applyAlignment="1">
      <alignment vertical="center"/>
    </xf>
    <xf numFmtId="0" fontId="22" fillId="0" borderId="54" xfId="90" applyFont="1" applyBorder="1" applyAlignment="1">
      <alignment vertical="center"/>
    </xf>
    <xf numFmtId="0" fontId="22" fillId="0" borderId="59" xfId="90" applyFont="1" applyBorder="1" applyAlignment="1">
      <alignment vertical="center"/>
    </xf>
    <xf numFmtId="0" fontId="22" fillId="0" borderId="37" xfId="90" applyFont="1" applyBorder="1" applyAlignment="1">
      <alignment vertical="center"/>
    </xf>
    <xf numFmtId="0" fontId="22" fillId="0" borderId="0" xfId="90" applyFont="1" applyBorder="1" applyAlignment="1">
      <alignment vertical="center"/>
    </xf>
    <xf numFmtId="0" fontId="22" fillId="0" borderId="38" xfId="90" applyFont="1" applyBorder="1" applyAlignment="1">
      <alignment vertical="center"/>
    </xf>
    <xf numFmtId="14" fontId="20" fillId="35" borderId="0" xfId="90" applyNumberFormat="1" applyFont="1" applyFill="1" applyBorder="1" applyAlignment="1">
      <alignment vertical="center"/>
    </xf>
    <xf numFmtId="1" fontId="20" fillId="35" borderId="0" xfId="90" applyNumberFormat="1" applyFont="1" applyFill="1" applyBorder="1" applyAlignment="1">
      <alignment vertical="center"/>
    </xf>
    <xf numFmtId="1" fontId="20" fillId="0" borderId="0" xfId="90" applyNumberFormat="1" applyFont="1" applyFill="1" applyBorder="1" applyAlignment="1">
      <alignment vertical="center"/>
    </xf>
    <xf numFmtId="10" fontId="20" fillId="35" borderId="0" xfId="90" applyNumberFormat="1" applyFont="1" applyFill="1" applyBorder="1" applyAlignment="1">
      <alignment vertical="center"/>
    </xf>
    <xf numFmtId="0" fontId="20" fillId="0" borderId="37" xfId="90" applyFont="1" applyBorder="1" applyAlignment="1">
      <alignment vertical="center"/>
    </xf>
    <xf numFmtId="4" fontId="26" fillId="35" borderId="0" xfId="90" applyNumberFormat="1" applyFont="1" applyFill="1" applyBorder="1" applyAlignment="1" applyProtection="1">
      <alignment vertical="center"/>
      <protection locked="0"/>
    </xf>
    <xf numFmtId="0" fontId="26" fillId="0" borderId="0" xfId="90" applyFont="1" applyBorder="1" applyAlignment="1">
      <alignment vertical="center"/>
    </xf>
    <xf numFmtId="2" fontId="24" fillId="0" borderId="143" xfId="90" applyNumberFormat="1" applyFont="1" applyBorder="1" applyAlignment="1">
      <alignment vertical="center"/>
    </xf>
    <xf numFmtId="3" fontId="26" fillId="0" borderId="0" xfId="90" applyNumberFormat="1" applyFont="1" applyBorder="1" applyAlignment="1">
      <alignment vertical="center"/>
    </xf>
    <xf numFmtId="0" fontId="15" fillId="0" borderId="0" xfId="90" applyFill="1" applyBorder="1"/>
    <xf numFmtId="177" fontId="24" fillId="0" borderId="0" xfId="105" applyNumberFormat="1" applyFont="1" applyFill="1" applyBorder="1" applyAlignment="1">
      <alignment vertical="center"/>
    </xf>
    <xf numFmtId="198" fontId="152" fillId="0" borderId="0" xfId="41" applyNumberFormat="1" applyFont="1" applyFill="1" applyBorder="1" applyAlignment="1" applyProtection="1">
      <alignment horizontal="right" vertical="center"/>
    </xf>
    <xf numFmtId="0" fontId="96" fillId="0" borderId="0" xfId="0" applyFont="1" applyFill="1" applyBorder="1" applyAlignment="1" applyProtection="1">
      <alignment horizontal="left" vertical="center"/>
    </xf>
    <xf numFmtId="0" fontId="346" fillId="0" borderId="0" xfId="0" applyFont="1" applyFill="1" applyBorder="1" applyAlignment="1">
      <alignment horizontal="left" vertical="center" wrapText="1"/>
    </xf>
    <xf numFmtId="0" fontId="219" fillId="0" borderId="0" xfId="0" applyFont="1" applyFill="1" applyBorder="1" applyAlignment="1" applyProtection="1">
      <alignment horizontal="center" vertical="center"/>
    </xf>
    <xf numFmtId="3" fontId="157" fillId="0" borderId="0" xfId="0" applyNumberFormat="1" applyFont="1" applyFill="1" applyBorder="1" applyAlignment="1" applyProtection="1">
      <alignment horizontal="right" vertical="center"/>
      <protection locked="0"/>
    </xf>
    <xf numFmtId="6" fontId="152" fillId="26" borderId="71" xfId="0" applyNumberFormat="1" applyFont="1" applyFill="1" applyBorder="1" applyAlignment="1" applyProtection="1">
      <alignment vertical="center"/>
    </xf>
    <xf numFmtId="198" fontId="96" fillId="35" borderId="0" xfId="0" applyNumberFormat="1" applyFont="1" applyFill="1" applyBorder="1" applyAlignment="1"/>
    <xf numFmtId="218" fontId="96" fillId="26" borderId="0" xfId="0" applyNumberFormat="1" applyFont="1" applyFill="1" applyBorder="1" applyAlignment="1"/>
    <xf numFmtId="10" fontId="152" fillId="37" borderId="38" xfId="0" applyNumberFormat="1" applyFont="1" applyFill="1" applyBorder="1" applyProtection="1">
      <protection locked="0"/>
    </xf>
    <xf numFmtId="4" fontId="152" fillId="0" borderId="13" xfId="0" applyNumberFormat="1" applyFont="1" applyFill="1" applyBorder="1" applyAlignment="1" applyProtection="1">
      <alignment horizontal="right" vertical="center"/>
    </xf>
    <xf numFmtId="4" fontId="152" fillId="0" borderId="13" xfId="0" applyNumberFormat="1" applyFont="1" applyFill="1" applyBorder="1" applyAlignment="1" applyProtection="1">
      <alignment vertical="center"/>
    </xf>
    <xf numFmtId="4" fontId="152" fillId="37" borderId="13" xfId="0" applyNumberFormat="1" applyFont="1" applyFill="1" applyBorder="1" applyAlignment="1" applyProtection="1">
      <alignment vertical="center"/>
      <protection locked="0"/>
    </xf>
    <xf numFmtId="3" fontId="152" fillId="37" borderId="13" xfId="0" applyNumberFormat="1" applyFont="1" applyFill="1" applyBorder="1" applyAlignment="1" applyProtection="1">
      <alignment horizontal="right" vertical="center"/>
      <protection locked="0"/>
    </xf>
    <xf numFmtId="3" fontId="152" fillId="37" borderId="13" xfId="0" applyNumberFormat="1" applyFont="1" applyFill="1" applyBorder="1" applyAlignment="1" applyProtection="1">
      <alignment vertical="center"/>
    </xf>
    <xf numFmtId="3" fontId="152" fillId="26" borderId="13" xfId="0" applyNumberFormat="1" applyFont="1" applyFill="1" applyBorder="1" applyAlignment="1" applyProtection="1">
      <alignment vertical="center"/>
    </xf>
    <xf numFmtId="0" fontId="153" fillId="0" borderId="15" xfId="0" applyFont="1" applyFill="1" applyBorder="1" applyAlignment="1" applyProtection="1">
      <alignment vertical="center"/>
    </xf>
    <xf numFmtId="6" fontId="152" fillId="0" borderId="13" xfId="0" applyNumberFormat="1" applyFont="1" applyFill="1" applyBorder="1" applyAlignment="1" applyProtection="1">
      <alignment horizontal="center" vertical="center"/>
      <protection locked="0"/>
    </xf>
    <xf numFmtId="4" fontId="152" fillId="0" borderId="29" xfId="41" applyNumberFormat="1" applyFont="1" applyFill="1" applyBorder="1" applyAlignment="1" applyProtection="1">
      <alignment horizontal="right" vertical="center"/>
      <protection locked="0"/>
    </xf>
    <xf numFmtId="3" fontId="152" fillId="0" borderId="27" xfId="0" applyNumberFormat="1" applyFont="1" applyFill="1" applyBorder="1" applyAlignment="1" applyProtection="1">
      <alignment vertical="center"/>
    </xf>
    <xf numFmtId="3" fontId="152" fillId="32" borderId="27" xfId="0" applyNumberFormat="1" applyFont="1" applyFill="1" applyBorder="1" applyAlignment="1" applyProtection="1">
      <alignment vertical="center"/>
    </xf>
    <xf numFmtId="0" fontId="152" fillId="63" borderId="57" xfId="0" applyFont="1" applyFill="1" applyBorder="1" applyAlignment="1" applyProtection="1">
      <alignment vertical="center" wrapText="1"/>
    </xf>
    <xf numFmtId="177" fontId="125" fillId="0" borderId="63" xfId="0" applyNumberFormat="1" applyFont="1" applyFill="1" applyBorder="1" applyAlignment="1" applyProtection="1">
      <alignment vertical="center"/>
    </xf>
    <xf numFmtId="194" fontId="125" fillId="28" borderId="33" xfId="0" applyNumberFormat="1" applyFont="1" applyFill="1" applyBorder="1" applyAlignment="1" applyProtection="1">
      <alignment vertical="center"/>
    </xf>
    <xf numFmtId="2" fontId="152" fillId="26" borderId="228" xfId="0" applyNumberFormat="1" applyFont="1" applyFill="1" applyBorder="1" applyAlignment="1" applyProtection="1">
      <alignment horizontal="right" vertical="center"/>
      <protection locked="0"/>
    </xf>
    <xf numFmtId="187" fontId="152" fillId="26" borderId="102" xfId="0" applyNumberFormat="1" applyFont="1" applyFill="1" applyBorder="1" applyAlignment="1" applyProtection="1">
      <alignment horizontal="right" vertical="center"/>
      <protection locked="0"/>
    </xf>
    <xf numFmtId="213" fontId="152" fillId="26" borderId="97" xfId="0" applyNumberFormat="1" applyFont="1" applyFill="1" applyBorder="1" applyAlignment="1" applyProtection="1">
      <alignment vertical="center"/>
    </xf>
    <xf numFmtId="2" fontId="152" fillId="26" borderId="100" xfId="0" applyNumberFormat="1" applyFont="1" applyFill="1" applyBorder="1" applyAlignment="1" applyProtection="1">
      <alignment horizontal="right" vertical="center"/>
      <protection locked="0"/>
    </xf>
    <xf numFmtId="213" fontId="152" fillId="26" borderId="97" xfId="0" applyNumberFormat="1" applyFont="1" applyFill="1" applyBorder="1" applyAlignment="1">
      <alignment vertical="center"/>
    </xf>
    <xf numFmtId="0" fontId="153" fillId="26" borderId="0" xfId="0" applyFont="1" applyFill="1" applyBorder="1" applyAlignment="1" applyProtection="1">
      <alignment vertical="center" wrapText="1"/>
    </xf>
    <xf numFmtId="0" fontId="232" fillId="26" borderId="36" xfId="0" applyFont="1" applyFill="1" applyBorder="1" applyAlignment="1">
      <alignment horizontal="center"/>
    </xf>
    <xf numFmtId="0" fontId="233" fillId="32" borderId="0" xfId="0" applyFont="1" applyFill="1" applyBorder="1"/>
    <xf numFmtId="0" fontId="233" fillId="32" borderId="40" xfId="0" applyFont="1" applyFill="1" applyBorder="1"/>
    <xf numFmtId="2" fontId="152" fillId="26" borderId="94" xfId="0" applyNumberFormat="1" applyFont="1" applyFill="1" applyBorder="1" applyAlignment="1" applyProtection="1">
      <alignment horizontal="right" vertical="center"/>
      <protection locked="0"/>
    </xf>
    <xf numFmtId="2" fontId="152" fillId="26" borderId="102" xfId="0" applyNumberFormat="1" applyFont="1" applyFill="1" applyBorder="1" applyAlignment="1" applyProtection="1">
      <alignment horizontal="right" vertical="center"/>
      <protection locked="0"/>
    </xf>
    <xf numFmtId="2" fontId="152" fillId="26" borderId="102" xfId="0" applyNumberFormat="1" applyFont="1" applyFill="1" applyBorder="1" applyAlignment="1" applyProtection="1">
      <alignment vertical="center"/>
    </xf>
    <xf numFmtId="213" fontId="152" fillId="26" borderId="256" xfId="0" applyNumberFormat="1" applyFont="1" applyFill="1" applyBorder="1" applyAlignment="1" applyProtection="1">
      <alignment vertical="center"/>
    </xf>
    <xf numFmtId="2" fontId="152" fillId="63" borderId="228" xfId="0" applyNumberFormat="1" applyFont="1" applyFill="1" applyBorder="1" applyAlignment="1" applyProtection="1">
      <alignment horizontal="right" vertical="center"/>
      <protection locked="0"/>
    </xf>
    <xf numFmtId="2" fontId="152" fillId="63" borderId="102" xfId="0" applyNumberFormat="1" applyFont="1" applyFill="1" applyBorder="1" applyAlignment="1" applyProtection="1">
      <alignment vertical="center"/>
    </xf>
    <xf numFmtId="187" fontId="152" fillId="63" borderId="102" xfId="0" applyNumberFormat="1" applyFont="1" applyFill="1" applyBorder="1" applyAlignment="1" applyProtection="1">
      <alignment horizontal="right" vertical="center"/>
      <protection locked="0"/>
    </xf>
    <xf numFmtId="0" fontId="96" fillId="63" borderId="37" xfId="0" applyFont="1" applyFill="1" applyBorder="1"/>
    <xf numFmtId="187" fontId="152" fillId="63" borderId="100" xfId="0" applyNumberFormat="1" applyFont="1" applyFill="1" applyBorder="1" applyAlignment="1" applyProtection="1">
      <alignment horizontal="right" vertical="center"/>
      <protection locked="0"/>
    </xf>
    <xf numFmtId="0" fontId="7" fillId="32" borderId="35" xfId="111" applyFill="1" applyBorder="1"/>
    <xf numFmtId="0" fontId="7" fillId="32" borderId="36" xfId="111" applyFill="1" applyBorder="1"/>
    <xf numFmtId="0" fontId="7" fillId="32" borderId="52" xfId="111" applyFill="1" applyBorder="1"/>
    <xf numFmtId="0" fontId="7" fillId="32" borderId="0" xfId="111" applyFill="1"/>
    <xf numFmtId="0" fontId="359" fillId="32" borderId="37" xfId="111" applyFont="1" applyFill="1" applyBorder="1" applyAlignment="1" applyProtection="1">
      <alignment vertical="center"/>
    </xf>
    <xf numFmtId="0" fontId="359" fillId="32" borderId="0" xfId="111" applyFont="1" applyFill="1" applyBorder="1" applyAlignment="1" applyProtection="1">
      <alignment vertical="center"/>
    </xf>
    <xf numFmtId="0" fontId="360" fillId="32" borderId="0" xfId="111" applyFont="1" applyFill="1" applyBorder="1" applyAlignment="1" applyProtection="1">
      <alignment vertical="center"/>
    </xf>
    <xf numFmtId="0" fontId="360" fillId="32" borderId="38" xfId="111" applyFont="1" applyFill="1" applyBorder="1" applyAlignment="1" applyProtection="1">
      <alignment vertical="center"/>
    </xf>
    <xf numFmtId="0" fontId="361" fillId="32" borderId="0" xfId="111" applyFont="1" applyFill="1"/>
    <xf numFmtId="0" fontId="362" fillId="32" borderId="0" xfId="111" applyFont="1" applyFill="1" applyBorder="1" applyAlignment="1" applyProtection="1">
      <alignment vertical="center"/>
    </xf>
    <xf numFmtId="0" fontId="107" fillId="32" borderId="37" xfId="111" applyFont="1" applyFill="1" applyBorder="1" applyAlignment="1" applyProtection="1">
      <alignment vertical="center"/>
    </xf>
    <xf numFmtId="0" fontId="107" fillId="32" borderId="0" xfId="111" applyFont="1" applyFill="1" applyBorder="1" applyAlignment="1" applyProtection="1">
      <alignment vertical="center"/>
    </xf>
    <xf numFmtId="0" fontId="363" fillId="32" borderId="0" xfId="111" applyFont="1" applyFill="1" applyBorder="1" applyAlignment="1" applyProtection="1">
      <alignment vertical="center"/>
    </xf>
    <xf numFmtId="0" fontId="363" fillId="32" borderId="38" xfId="111" applyFont="1" applyFill="1" applyBorder="1" applyAlignment="1" applyProtection="1">
      <alignment vertical="center"/>
    </xf>
    <xf numFmtId="0" fontId="364" fillId="32" borderId="248" xfId="90" applyFont="1" applyFill="1" applyBorder="1" applyAlignment="1">
      <alignment vertical="center"/>
    </xf>
    <xf numFmtId="0" fontId="365" fillId="32" borderId="249" xfId="111" applyFont="1" applyFill="1" applyBorder="1" applyAlignment="1" applyProtection="1">
      <alignment vertical="center"/>
    </xf>
    <xf numFmtId="0" fontId="366" fillId="32" borderId="0" xfId="111" applyFont="1" applyFill="1" applyBorder="1" applyAlignment="1" applyProtection="1">
      <alignment vertical="center"/>
    </xf>
    <xf numFmtId="0" fontId="107" fillId="32" borderId="39" xfId="111" applyFont="1" applyFill="1" applyBorder="1" applyAlignment="1" applyProtection="1">
      <alignment vertical="center"/>
    </xf>
    <xf numFmtId="0" fontId="107" fillId="32" borderId="40" xfId="111" applyFont="1" applyFill="1" applyBorder="1" applyAlignment="1" applyProtection="1">
      <alignment vertical="center"/>
    </xf>
    <xf numFmtId="0" fontId="265" fillId="32" borderId="40" xfId="111" applyFont="1" applyFill="1" applyBorder="1" applyAlignment="1" applyProtection="1">
      <alignment vertical="center"/>
    </xf>
    <xf numFmtId="0" fontId="265" fillId="32" borderId="41" xfId="111" applyFont="1" applyFill="1" applyBorder="1" applyAlignment="1" applyProtection="1">
      <alignment vertical="center"/>
    </xf>
    <xf numFmtId="0" fontId="101" fillId="32" borderId="0" xfId="111" applyFont="1" applyFill="1" applyBorder="1" applyAlignment="1" applyProtection="1">
      <alignment horizontal="left" vertical="top" wrapText="1"/>
    </xf>
    <xf numFmtId="0" fontId="265" fillId="32" borderId="0" xfId="111" applyFont="1" applyFill="1" applyBorder="1" applyAlignment="1" applyProtection="1">
      <alignment vertical="center"/>
    </xf>
    <xf numFmtId="0" fontId="107" fillId="32" borderId="43" xfId="111" applyFont="1" applyFill="1" applyBorder="1" applyAlignment="1" applyProtection="1">
      <alignment vertical="center"/>
    </xf>
    <xf numFmtId="0" fontId="107" fillId="32" borderId="16" xfId="111" applyFont="1" applyFill="1" applyBorder="1" applyAlignment="1" applyProtection="1">
      <alignment vertical="center"/>
    </xf>
    <xf numFmtId="0" fontId="265" fillId="32" borderId="16" xfId="111" applyFont="1" applyFill="1" applyBorder="1" applyAlignment="1" applyProtection="1">
      <alignment vertical="center"/>
    </xf>
    <xf numFmtId="0" fontId="265" fillId="32" borderId="17" xfId="111" applyFont="1" applyFill="1" applyBorder="1" applyAlignment="1" applyProtection="1">
      <alignment vertical="center"/>
    </xf>
    <xf numFmtId="0" fontId="265" fillId="32" borderId="115" xfId="111" applyFont="1" applyFill="1" applyBorder="1" applyAlignment="1" applyProtection="1">
      <alignment vertical="center"/>
    </xf>
    <xf numFmtId="0" fontId="265" fillId="32" borderId="44" xfId="111" applyFont="1" applyFill="1" applyBorder="1" applyAlignment="1" applyProtection="1">
      <alignment vertical="center"/>
    </xf>
    <xf numFmtId="0" fontId="109" fillId="32" borderId="115" xfId="111" applyFont="1" applyFill="1" applyBorder="1" applyAlignment="1" applyProtection="1">
      <alignment vertical="center"/>
    </xf>
    <xf numFmtId="0" fontId="361" fillId="32" borderId="0" xfId="111" applyFont="1" applyFill="1" applyBorder="1"/>
    <xf numFmtId="0" fontId="265" fillId="32" borderId="45" xfId="111" applyFont="1" applyFill="1" applyBorder="1" applyAlignment="1" applyProtection="1">
      <alignment vertical="center"/>
    </xf>
    <xf numFmtId="0" fontId="107" fillId="32" borderId="11" xfId="111" applyFont="1" applyFill="1" applyBorder="1" applyAlignment="1" applyProtection="1">
      <alignment vertical="center"/>
    </xf>
    <xf numFmtId="0" fontId="265" fillId="32" borderId="11" xfId="111" applyFont="1" applyFill="1" applyBorder="1" applyAlignment="1" applyProtection="1">
      <alignment vertical="center"/>
    </xf>
    <xf numFmtId="0" fontId="265" fillId="32" borderId="46" xfId="111" applyFont="1" applyFill="1" applyBorder="1" applyAlignment="1" applyProtection="1">
      <alignment vertical="center"/>
    </xf>
    <xf numFmtId="177" fontId="368" fillId="32" borderId="252" xfId="112" applyNumberFormat="1" applyFont="1" applyFill="1" applyBorder="1" applyAlignment="1">
      <alignment vertical="center"/>
    </xf>
    <xf numFmtId="0" fontId="369" fillId="32" borderId="15" xfId="111" applyFont="1" applyFill="1" applyBorder="1"/>
    <xf numFmtId="0" fontId="369" fillId="32" borderId="10" xfId="111" applyFont="1" applyFill="1" applyBorder="1"/>
    <xf numFmtId="0" fontId="7" fillId="32" borderId="10" xfId="111" applyFill="1" applyBorder="1"/>
    <xf numFmtId="0" fontId="7" fillId="32" borderId="12" xfId="111" applyFill="1" applyBorder="1"/>
    <xf numFmtId="0" fontId="365" fillId="32" borderId="253" xfId="111" applyFont="1" applyFill="1" applyBorder="1"/>
    <xf numFmtId="0" fontId="365" fillId="32" borderId="254" xfId="111" applyFont="1" applyFill="1" applyBorder="1"/>
    <xf numFmtId="0" fontId="365" fillId="32" borderId="255" xfId="111" applyFont="1" applyFill="1" applyBorder="1"/>
    <xf numFmtId="0" fontId="7" fillId="32" borderId="0" xfId="111" applyFont="1" applyFill="1" applyBorder="1"/>
    <xf numFmtId="0" fontId="7" fillId="32" borderId="43" xfId="111" applyFill="1" applyBorder="1"/>
    <xf numFmtId="0" fontId="7" fillId="32" borderId="16" xfId="111" applyFill="1" applyBorder="1"/>
    <xf numFmtId="0" fontId="7" fillId="32" borderId="17" xfId="111" applyFill="1" applyBorder="1"/>
    <xf numFmtId="0" fontId="351" fillId="32" borderId="115" xfId="111" applyFont="1" applyFill="1" applyBorder="1"/>
    <xf numFmtId="0" fontId="351" fillId="32" borderId="0" xfId="111" applyFont="1" applyFill="1" applyBorder="1"/>
    <xf numFmtId="0" fontId="7" fillId="32" borderId="0" xfId="111" applyFill="1" applyBorder="1"/>
    <xf numFmtId="0" fontId="7" fillId="32" borderId="44" xfId="111" applyFill="1" applyBorder="1"/>
    <xf numFmtId="0" fontId="123" fillId="32" borderId="0" xfId="111" applyFont="1" applyFill="1"/>
    <xf numFmtId="0" fontId="7" fillId="32" borderId="115" xfId="111" applyFill="1" applyBorder="1"/>
    <xf numFmtId="293" fontId="7" fillId="32" borderId="0" xfId="111" applyNumberFormat="1" applyFont="1" applyFill="1" applyBorder="1" applyAlignment="1">
      <alignment horizontal="right"/>
    </xf>
    <xf numFmtId="0" fontId="6" fillId="32" borderId="0" xfId="111" applyFont="1" applyFill="1"/>
    <xf numFmtId="293" fontId="7" fillId="32" borderId="0" xfId="111" applyNumberFormat="1" applyFill="1" applyBorder="1" applyAlignment="1">
      <alignment horizontal="right"/>
    </xf>
    <xf numFmtId="0" fontId="6" fillId="32" borderId="0" xfId="111" applyFont="1" applyFill="1" applyBorder="1"/>
    <xf numFmtId="0" fontId="370" fillId="32" borderId="0" xfId="111" applyFont="1" applyFill="1"/>
    <xf numFmtId="293" fontId="7" fillId="32" borderId="44" xfId="111" applyNumberFormat="1" applyFill="1" applyBorder="1"/>
    <xf numFmtId="293" fontId="371" fillId="32" borderId="0" xfId="111" applyNumberFormat="1" applyFont="1" applyFill="1" applyBorder="1"/>
    <xf numFmtId="293" fontId="371" fillId="32" borderId="44" xfId="111" applyNumberFormat="1" applyFont="1" applyFill="1" applyBorder="1"/>
    <xf numFmtId="2" fontId="7" fillId="32" borderId="0" xfId="111" applyNumberFormat="1" applyFill="1" applyBorder="1"/>
    <xf numFmtId="0" fontId="7" fillId="32" borderId="45" xfId="111" applyFill="1" applyBorder="1"/>
    <xf numFmtId="0" fontId="7" fillId="32" borderId="11" xfId="111" applyFill="1" applyBorder="1"/>
    <xf numFmtId="0" fontId="7" fillId="32" borderId="46" xfId="111" applyFill="1" applyBorder="1"/>
    <xf numFmtId="0" fontId="135" fillId="32" borderId="0" xfId="111" applyFont="1" applyFill="1" applyBorder="1"/>
    <xf numFmtId="2" fontId="7" fillId="32" borderId="10" xfId="111" applyNumberFormat="1" applyFill="1" applyBorder="1"/>
    <xf numFmtId="298" fontId="7" fillId="32" borderId="0" xfId="111" applyNumberFormat="1" applyFont="1" applyFill="1" applyBorder="1"/>
    <xf numFmtId="298" fontId="351" fillId="32" borderId="16" xfId="111" applyNumberFormat="1" applyFont="1" applyFill="1" applyBorder="1"/>
    <xf numFmtId="293" fontId="7" fillId="32" borderId="0" xfId="111" applyNumberFormat="1" applyFill="1" applyBorder="1"/>
    <xf numFmtId="2" fontId="7" fillId="32" borderId="11" xfId="111" applyNumberFormat="1" applyFill="1" applyBorder="1"/>
    <xf numFmtId="0" fontId="371" fillId="32" borderId="0" xfId="111" applyFont="1" applyFill="1" applyBorder="1"/>
    <xf numFmtId="0" fontId="369" fillId="32" borderId="0" xfId="111" applyFont="1" applyFill="1" applyBorder="1"/>
    <xf numFmtId="0" fontId="123" fillId="32" borderId="0" xfId="90" applyFont="1" applyFill="1" applyBorder="1"/>
    <xf numFmtId="2" fontId="7" fillId="32" borderId="0" xfId="111" applyNumberFormat="1" applyFont="1" applyFill="1" applyBorder="1"/>
    <xf numFmtId="0" fontId="7" fillId="32" borderId="0" xfId="111" applyFill="1" applyBorder="1" applyAlignment="1">
      <alignment horizontal="center"/>
    </xf>
    <xf numFmtId="0" fontId="123" fillId="32" borderId="0" xfId="90" applyFont="1" applyFill="1" applyBorder="1" applyAlignment="1">
      <alignment vertical="center"/>
    </xf>
    <xf numFmtId="0" fontId="123" fillId="32" borderId="13" xfId="90" applyFont="1" applyFill="1" applyBorder="1" applyAlignment="1">
      <alignment horizontal="center"/>
    </xf>
    <xf numFmtId="0" fontId="123" fillId="32" borderId="0" xfId="90" applyFont="1" applyFill="1" applyBorder="1" applyAlignment="1">
      <alignment horizontal="center"/>
    </xf>
    <xf numFmtId="292" fontId="123" fillId="32" borderId="13" xfId="90" applyNumberFormat="1" applyFont="1" applyFill="1" applyBorder="1"/>
    <xf numFmtId="0" fontId="230" fillId="32" borderId="0" xfId="90" applyFont="1" applyFill="1" applyBorder="1" applyAlignment="1">
      <alignment vertical="center"/>
    </xf>
    <xf numFmtId="0" fontId="123" fillId="32" borderId="13" xfId="90" applyFont="1" applyFill="1" applyBorder="1" applyAlignment="1">
      <alignment horizontal="center" vertical="center"/>
    </xf>
    <xf numFmtId="0" fontId="7" fillId="32" borderId="13" xfId="90" applyFont="1" applyFill="1" applyBorder="1" applyAlignment="1">
      <alignment horizontal="center" vertical="center"/>
    </xf>
    <xf numFmtId="0" fontId="123" fillId="32" borderId="0" xfId="90" applyFont="1" applyFill="1" applyBorder="1" applyAlignment="1">
      <alignment horizontal="center" vertical="center"/>
    </xf>
    <xf numFmtId="2" fontId="123" fillId="32" borderId="13" xfId="90" applyNumberFormat="1" applyFont="1" applyFill="1" applyBorder="1" applyAlignment="1">
      <alignment vertical="center"/>
    </xf>
    <xf numFmtId="2" fontId="7" fillId="32" borderId="13" xfId="90" applyNumberFormat="1" applyFont="1" applyFill="1" applyBorder="1" applyAlignment="1">
      <alignment vertical="center"/>
    </xf>
    <xf numFmtId="2" fontId="123" fillId="32" borderId="0" xfId="90" applyNumberFormat="1" applyFont="1" applyFill="1" applyBorder="1" applyAlignment="1">
      <alignment vertical="center"/>
    </xf>
    <xf numFmtId="2" fontId="7" fillId="32" borderId="0" xfId="90" applyNumberFormat="1" applyFont="1" applyFill="1" applyBorder="1" applyAlignment="1">
      <alignment vertical="center"/>
    </xf>
    <xf numFmtId="2" fontId="230" fillId="32" borderId="115" xfId="90" applyNumberFormat="1" applyFont="1" applyFill="1" applyBorder="1" applyAlignment="1">
      <alignment vertical="center"/>
    </xf>
    <xf numFmtId="2" fontId="230" fillId="32" borderId="0" xfId="90" applyNumberFormat="1" applyFont="1" applyFill="1" applyBorder="1" applyAlignment="1">
      <alignment vertical="center"/>
    </xf>
    <xf numFmtId="0" fontId="123" fillId="32" borderId="13" xfId="90" applyFont="1" applyFill="1" applyBorder="1"/>
    <xf numFmtId="2" fontId="221" fillId="32" borderId="13" xfId="90" applyNumberFormat="1" applyFont="1" applyFill="1" applyBorder="1"/>
    <xf numFmtId="0" fontId="221" fillId="32" borderId="0" xfId="90" applyFont="1" applyFill="1" applyBorder="1"/>
    <xf numFmtId="0" fontId="371" fillId="32" borderId="0" xfId="111" applyFont="1" applyFill="1"/>
    <xf numFmtId="14" fontId="221" fillId="32" borderId="0" xfId="90" applyNumberFormat="1" applyFont="1" applyFill="1" applyBorder="1"/>
    <xf numFmtId="0" fontId="221" fillId="32" borderId="0" xfId="90" applyFont="1" applyFill="1" applyBorder="1" applyAlignment="1">
      <alignment horizontal="center"/>
    </xf>
    <xf numFmtId="0" fontId="205" fillId="32" borderId="0" xfId="90" applyFont="1" applyFill="1" applyBorder="1"/>
    <xf numFmtId="293" fontId="205" fillId="32" borderId="0" xfId="90" applyNumberFormat="1" applyFont="1" applyFill="1" applyBorder="1"/>
    <xf numFmtId="0" fontId="205" fillId="32" borderId="0" xfId="90" quotePrefix="1" applyFont="1" applyFill="1" applyBorder="1" applyAlignment="1">
      <alignment horizontal="center"/>
    </xf>
    <xf numFmtId="293" fontId="123" fillId="32" borderId="0" xfId="90" applyNumberFormat="1" applyFont="1" applyFill="1" applyBorder="1"/>
    <xf numFmtId="293" fontId="109" fillId="59" borderId="0" xfId="111" applyNumberFormat="1" applyFont="1" applyFill="1" applyBorder="1" applyAlignment="1" applyProtection="1">
      <alignment vertical="center"/>
      <protection locked="0"/>
    </xf>
    <xf numFmtId="177" fontId="365" fillId="59" borderId="0" xfId="112" applyNumberFormat="1" applyFont="1" applyFill="1" applyBorder="1" applyAlignment="1" applyProtection="1">
      <alignment vertical="center"/>
      <protection locked="0"/>
    </xf>
    <xf numFmtId="293" fontId="7" fillId="59" borderId="44" xfId="111" applyNumberFormat="1" applyFont="1" applyFill="1" applyBorder="1" applyAlignment="1" applyProtection="1">
      <alignment horizontal="right"/>
      <protection locked="0"/>
    </xf>
    <xf numFmtId="293" fontId="7" fillId="59" borderId="44" xfId="111" applyNumberFormat="1" applyFill="1" applyBorder="1" applyProtection="1">
      <protection locked="0"/>
    </xf>
    <xf numFmtId="10" fontId="123" fillId="59" borderId="0" xfId="113" applyNumberFormat="1" applyFont="1" applyFill="1" applyBorder="1" applyProtection="1">
      <protection locked="0"/>
    </xf>
    <xf numFmtId="293" fontId="109" fillId="59" borderId="44" xfId="111" applyNumberFormat="1" applyFont="1" applyFill="1" applyBorder="1" applyAlignment="1" applyProtection="1">
      <alignment vertical="center"/>
      <protection locked="0"/>
    </xf>
    <xf numFmtId="293" fontId="109" fillId="59" borderId="46" xfId="111" applyNumberFormat="1" applyFont="1" applyFill="1" applyBorder="1" applyAlignment="1" applyProtection="1">
      <alignment vertical="center"/>
      <protection locked="0"/>
    </xf>
    <xf numFmtId="293" fontId="7" fillId="32" borderId="44" xfId="111" applyNumberFormat="1" applyFont="1" applyFill="1" applyBorder="1" applyAlignment="1">
      <alignment horizontal="right"/>
    </xf>
    <xf numFmtId="0" fontId="101" fillId="32" borderId="0" xfId="111" applyFont="1" applyFill="1" applyBorder="1" applyAlignment="1" applyProtection="1">
      <alignment horizontal="left" vertical="top"/>
    </xf>
    <xf numFmtId="0" fontId="109" fillId="32" borderId="115" xfId="111" applyFont="1" applyFill="1" applyBorder="1" applyAlignment="1" applyProtection="1">
      <alignment horizontal="left" vertical="top"/>
    </xf>
    <xf numFmtId="298" fontId="371" fillId="32" borderId="0" xfId="111" applyNumberFormat="1" applyFont="1" applyFill="1" applyBorder="1" applyAlignment="1">
      <alignment horizontal="left"/>
    </xf>
    <xf numFmtId="0" fontId="101" fillId="32" borderId="45" xfId="111" applyFont="1" applyFill="1" applyBorder="1" applyAlignment="1" applyProtection="1">
      <alignment horizontal="left" vertical="top"/>
    </xf>
    <xf numFmtId="298" fontId="371" fillId="32" borderId="11" xfId="111" applyNumberFormat="1" applyFont="1" applyFill="1" applyBorder="1" applyAlignment="1">
      <alignment horizontal="left"/>
    </xf>
    <xf numFmtId="0" fontId="265" fillId="32" borderId="15" xfId="111" applyFont="1" applyFill="1" applyBorder="1" applyAlignment="1" applyProtection="1">
      <alignment vertical="center"/>
    </xf>
    <xf numFmtId="0" fontId="107" fillId="32" borderId="10" xfId="111" applyFont="1" applyFill="1" applyBorder="1" applyAlignment="1" applyProtection="1">
      <alignment vertical="center"/>
    </xf>
    <xf numFmtId="0" fontId="265" fillId="32" borderId="10" xfId="111" applyFont="1" applyFill="1" applyBorder="1" applyAlignment="1" applyProtection="1">
      <alignment vertical="center"/>
    </xf>
    <xf numFmtId="0" fontId="265" fillId="32" borderId="12" xfId="111" applyFont="1" applyFill="1" applyBorder="1" applyAlignment="1" applyProtection="1">
      <alignment vertical="center"/>
    </xf>
    <xf numFmtId="0" fontId="7" fillId="32" borderId="115" xfId="111" applyFont="1" applyFill="1" applyBorder="1"/>
    <xf numFmtId="293" fontId="372" fillId="32" borderId="44" xfId="111" applyNumberFormat="1" applyFont="1" applyFill="1" applyBorder="1" applyAlignment="1" applyProtection="1">
      <alignment vertical="center"/>
    </xf>
    <xf numFmtId="0" fontId="205" fillId="32" borderId="15" xfId="90" applyFont="1" applyFill="1" applyBorder="1"/>
    <xf numFmtId="293" fontId="123" fillId="32" borderId="10" xfId="90" applyNumberFormat="1" applyFont="1" applyFill="1" applyBorder="1"/>
    <xf numFmtId="0" fontId="123" fillId="32" borderId="10" xfId="90" applyFont="1" applyFill="1" applyBorder="1"/>
    <xf numFmtId="0" fontId="123" fillId="32" borderId="12" xfId="90" applyFont="1" applyFill="1" applyBorder="1"/>
    <xf numFmtId="0" fontId="123" fillId="32" borderId="43" xfId="90" applyFont="1" applyFill="1" applyBorder="1"/>
    <xf numFmtId="293" fontId="123" fillId="32" borderId="16" xfId="90" applyNumberFormat="1" applyFont="1" applyFill="1" applyBorder="1"/>
    <xf numFmtId="0" fontId="123" fillId="32" borderId="16" xfId="90" applyFont="1" applyFill="1" applyBorder="1"/>
    <xf numFmtId="0" fontId="123" fillId="32" borderId="17" xfId="90" applyFont="1" applyFill="1" applyBorder="1"/>
    <xf numFmtId="0" fontId="369" fillId="32" borderId="115" xfId="111" applyFont="1" applyFill="1" applyBorder="1"/>
    <xf numFmtId="198" fontId="7" fillId="32" borderId="0" xfId="111" applyNumberFormat="1" applyFill="1" applyBorder="1"/>
    <xf numFmtId="198" fontId="7" fillId="32" borderId="11" xfId="111" applyNumberFormat="1" applyFill="1" applyBorder="1"/>
    <xf numFmtId="198" fontId="371" fillId="32" borderId="0" xfId="111" applyNumberFormat="1" applyFont="1" applyFill="1" applyBorder="1"/>
    <xf numFmtId="0" fontId="5" fillId="32" borderId="0" xfId="111" applyFont="1" applyFill="1" applyBorder="1" applyAlignment="1">
      <alignment horizontal="center"/>
    </xf>
    <xf numFmtId="0" fontId="5" fillId="32" borderId="115" xfId="111" applyFont="1" applyFill="1" applyBorder="1"/>
    <xf numFmtId="0" fontId="5" fillId="32" borderId="0" xfId="111" applyFont="1" applyFill="1" applyBorder="1"/>
    <xf numFmtId="292" fontId="123" fillId="0" borderId="13" xfId="90" applyNumberFormat="1" applyFont="1" applyFill="1" applyBorder="1"/>
    <xf numFmtId="0" fontId="123" fillId="0" borderId="13" xfId="90" applyFont="1" applyFill="1" applyBorder="1"/>
    <xf numFmtId="0" fontId="68" fillId="32" borderId="0" xfId="58" applyFont="1" applyFill="1" applyAlignment="1"/>
    <xf numFmtId="0" fontId="332" fillId="32" borderId="0" xfId="58" applyFont="1" applyFill="1" applyBorder="1" applyAlignment="1">
      <alignment horizontal="center" vertical="center"/>
    </xf>
    <xf numFmtId="0" fontId="68" fillId="32" borderId="0" xfId="58" applyFont="1" applyFill="1" applyBorder="1" applyAlignment="1">
      <alignment horizontal="center"/>
    </xf>
    <xf numFmtId="292" fontId="68" fillId="32" borderId="0" xfId="58" applyNumberFormat="1" applyFont="1" applyFill="1" applyBorder="1" applyAlignment="1">
      <alignment horizontal="center"/>
    </xf>
    <xf numFmtId="0" fontId="221" fillId="63" borderId="0" xfId="90" applyFont="1" applyFill="1" applyBorder="1"/>
    <xf numFmtId="0" fontId="371" fillId="63" borderId="0" xfId="111" applyFont="1" applyFill="1"/>
    <xf numFmtId="0" fontId="123" fillId="63" borderId="0" xfId="90" applyFont="1" applyFill="1" applyBorder="1"/>
    <xf numFmtId="293" fontId="205" fillId="63" borderId="0" xfId="90" applyNumberFormat="1" applyFont="1" applyFill="1" applyBorder="1"/>
    <xf numFmtId="293" fontId="205" fillId="63" borderId="11" xfId="90" applyNumberFormat="1" applyFont="1" applyFill="1" applyBorder="1"/>
    <xf numFmtId="293" fontId="7" fillId="59" borderId="46" xfId="111" applyNumberFormat="1" applyFill="1" applyBorder="1" applyProtection="1">
      <protection locked="0"/>
    </xf>
    <xf numFmtId="0" fontId="4" fillId="32" borderId="115" xfId="111" applyFont="1" applyFill="1" applyBorder="1"/>
    <xf numFmtId="0" fontId="96" fillId="0" borderId="0" xfId="0" applyFont="1" applyFill="1" applyBorder="1" applyAlignment="1" applyProtection="1">
      <alignment vertical="center" shrinkToFit="1"/>
    </xf>
    <xf numFmtId="0" fontId="135" fillId="32" borderId="115" xfId="111" applyFont="1" applyFill="1" applyBorder="1"/>
    <xf numFmtId="0" fontId="124" fillId="0" borderId="0" xfId="0" applyFont="1" applyFill="1" applyBorder="1" applyAlignment="1" applyProtection="1">
      <alignment horizontal="center" vertical="center" wrapText="1"/>
    </xf>
    <xf numFmtId="0" fontId="281" fillId="0" borderId="0" xfId="0" applyFont="1" applyFill="1" applyBorder="1" applyAlignment="1" applyProtection="1">
      <alignment horizontal="center" vertical="center" wrapText="1"/>
    </xf>
    <xf numFmtId="0" fontId="182" fillId="0" borderId="0" xfId="0" applyFont="1" applyFill="1" applyBorder="1" applyAlignment="1" applyProtection="1">
      <alignment vertical="center"/>
      <protection locked="0"/>
    </xf>
    <xf numFmtId="0" fontId="96" fillId="0" borderId="0" xfId="0" applyNumberFormat="1" applyFont="1" applyFill="1" applyBorder="1" applyAlignment="1" applyProtection="1">
      <alignment vertical="center"/>
    </xf>
    <xf numFmtId="0" fontId="88" fillId="0" borderId="0" xfId="0" applyFont="1" applyFill="1" applyBorder="1" applyAlignment="1" applyProtection="1"/>
    <xf numFmtId="176" fontId="151" fillId="0" borderId="0" xfId="0" applyNumberFormat="1" applyFont="1" applyFill="1" applyBorder="1" applyAlignment="1" applyProtection="1">
      <alignment vertical="center"/>
    </xf>
    <xf numFmtId="0" fontId="182" fillId="0" borderId="0" xfId="0" applyNumberFormat="1" applyFont="1" applyFill="1" applyBorder="1" applyAlignment="1" applyProtection="1">
      <alignment vertical="center"/>
      <protection locked="0"/>
    </xf>
    <xf numFmtId="0" fontId="0" fillId="32" borderId="0" xfId="0" applyFill="1" applyBorder="1"/>
    <xf numFmtId="0" fontId="365" fillId="32" borderId="0" xfId="0" quotePrefix="1" applyFont="1" applyFill="1" applyBorder="1" applyAlignment="1" applyProtection="1">
      <alignment vertical="center"/>
    </xf>
    <xf numFmtId="0" fontId="375" fillId="32" borderId="0" xfId="0" applyFont="1" applyFill="1" applyBorder="1"/>
    <xf numFmtId="0" fontId="368" fillId="32" borderId="16" xfId="90" applyFont="1" applyFill="1" applyBorder="1" applyAlignment="1">
      <alignment vertical="center"/>
    </xf>
    <xf numFmtId="0" fontId="365" fillId="32" borderId="250" xfId="90" applyFont="1" applyFill="1" applyBorder="1" applyAlignment="1">
      <alignment vertical="center"/>
    </xf>
    <xf numFmtId="0" fontId="365" fillId="32" borderId="0" xfId="90" applyFont="1" applyFill="1" applyBorder="1" applyAlignment="1">
      <alignment vertical="center"/>
    </xf>
    <xf numFmtId="0" fontId="365" fillId="32" borderId="251" xfId="111" applyFont="1" applyFill="1" applyBorder="1" applyAlignment="1" applyProtection="1">
      <alignment horizontal="left" vertical="top" wrapText="1"/>
    </xf>
    <xf numFmtId="0" fontId="365" fillId="32" borderId="250" xfId="90" applyFont="1" applyFill="1" applyBorder="1" applyAlignment="1">
      <alignment horizontal="left" vertical="center" wrapText="1"/>
    </xf>
    <xf numFmtId="0" fontId="152" fillId="0" borderId="0" xfId="0" applyFont="1" applyFill="1" applyBorder="1" applyAlignment="1" applyProtection="1">
      <alignment horizontal="left"/>
    </xf>
    <xf numFmtId="0" fontId="15" fillId="0" borderId="0" xfId="0" applyFont="1" applyFill="1" applyBorder="1"/>
    <xf numFmtId="0" fontId="124" fillId="0" borderId="0" xfId="0" quotePrefix="1" applyFont="1" applyFill="1" applyBorder="1" applyAlignment="1" applyProtection="1">
      <alignment vertical="center"/>
    </xf>
    <xf numFmtId="0" fontId="96" fillId="0" borderId="0" xfId="0" applyFont="1" applyFill="1" applyBorder="1"/>
    <xf numFmtId="0" fontId="96" fillId="0" borderId="0" xfId="0" applyFont="1" applyFill="1" applyBorder="1" applyAlignment="1" applyProtection="1">
      <alignment horizontal="center"/>
    </xf>
    <xf numFmtId="0" fontId="96" fillId="0" borderId="0" xfId="0" applyFont="1" applyFill="1" applyBorder="1" applyAlignment="1" applyProtection="1">
      <alignment horizontal="left" vertical="center"/>
    </xf>
    <xf numFmtId="0" fontId="91" fillId="0" borderId="192" xfId="0" applyFont="1" applyFill="1" applyBorder="1" applyAlignment="1" applyProtection="1">
      <alignment vertical="center"/>
    </xf>
    <xf numFmtId="0" fontId="91" fillId="0" borderId="0" xfId="0" applyFont="1" applyFill="1" applyBorder="1" applyAlignment="1" applyProtection="1">
      <alignment horizontal="right" vertical="center"/>
    </xf>
    <xf numFmtId="0" fontId="91" fillId="0" borderId="192" xfId="0" applyFont="1" applyFill="1" applyBorder="1" applyAlignment="1" applyProtection="1">
      <alignment horizontal="center" vertical="center"/>
    </xf>
    <xf numFmtId="0" fontId="91" fillId="0" borderId="100" xfId="0" applyFont="1" applyFill="1" applyBorder="1" applyAlignment="1" applyProtection="1">
      <alignment vertical="center"/>
    </xf>
    <xf numFmtId="0" fontId="96" fillId="0" borderId="0" xfId="0" applyFont="1" applyFill="1" applyBorder="1" applyAlignment="1" applyProtection="1">
      <alignment horizontal="center" vertical="center" wrapText="1"/>
    </xf>
    <xf numFmtId="3" fontId="96" fillId="0" borderId="0" xfId="38" applyNumberFormat="1" applyFont="1" applyFill="1" applyBorder="1" applyAlignment="1" applyProtection="1">
      <alignment horizontal="right" vertical="center"/>
    </xf>
    <xf numFmtId="4" fontId="96" fillId="0" borderId="0" xfId="0" applyNumberFormat="1" applyFont="1" applyFill="1" applyBorder="1" applyAlignment="1" applyProtection="1">
      <alignment horizontal="right" vertical="center" wrapText="1"/>
    </xf>
    <xf numFmtId="10" fontId="96" fillId="0" borderId="0" xfId="41" applyNumberFormat="1" applyFont="1" applyFill="1" applyBorder="1" applyAlignment="1" applyProtection="1">
      <alignment horizontal="right" vertical="center" wrapText="1"/>
    </xf>
    <xf numFmtId="2" fontId="96" fillId="0" borderId="0" xfId="41" applyNumberFormat="1" applyFont="1" applyFill="1" applyBorder="1" applyAlignment="1" applyProtection="1">
      <alignment vertical="center"/>
    </xf>
    <xf numFmtId="2" fontId="125" fillId="0" borderId="0" xfId="41" applyNumberFormat="1" applyFont="1" applyFill="1" applyBorder="1" applyAlignment="1" applyProtection="1">
      <alignment vertical="center"/>
    </xf>
    <xf numFmtId="3" fontId="125" fillId="0" borderId="0" xfId="0" applyNumberFormat="1" applyFont="1" applyFill="1" applyBorder="1" applyAlignment="1" applyProtection="1">
      <alignment vertical="center"/>
    </xf>
    <xf numFmtId="4" fontId="125" fillId="0" borderId="0" xfId="0" applyNumberFormat="1" applyFont="1" applyFill="1" applyBorder="1" applyAlignment="1" applyProtection="1">
      <alignment vertical="center"/>
    </xf>
    <xf numFmtId="10" fontId="125" fillId="0" borderId="0" xfId="41" applyNumberFormat="1" applyFont="1" applyFill="1" applyBorder="1" applyAlignment="1" applyProtection="1">
      <alignment vertical="center"/>
    </xf>
    <xf numFmtId="283" fontId="125" fillId="0" borderId="0" xfId="38" applyNumberFormat="1" applyFont="1" applyFill="1" applyBorder="1" applyAlignment="1" applyProtection="1">
      <alignment vertical="center"/>
    </xf>
    <xf numFmtId="10" fontId="125" fillId="0" borderId="0" xfId="41" applyNumberFormat="1" applyFont="1" applyFill="1" applyBorder="1" applyAlignment="1" applyProtection="1">
      <alignment horizontal="right" vertical="center"/>
    </xf>
    <xf numFmtId="0" fontId="96" fillId="0" borderId="0" xfId="0" applyFont="1" applyFill="1" applyBorder="1" applyAlignment="1" applyProtection="1">
      <alignment horizontal="right" vertical="center"/>
    </xf>
    <xf numFmtId="10" fontId="164" fillId="0" borderId="0" xfId="41" applyNumberFormat="1" applyFont="1" applyFill="1" applyBorder="1" applyAlignment="1" applyProtection="1">
      <alignment horizontal="right" vertical="center"/>
    </xf>
    <xf numFmtId="2" fontId="125" fillId="0" borderId="25" xfId="0" applyNumberFormat="1" applyFont="1" applyFill="1" applyBorder="1" applyAlignment="1" applyProtection="1">
      <alignment vertical="center"/>
    </xf>
    <xf numFmtId="0" fontId="152" fillId="0" borderId="17" xfId="0" applyFont="1" applyFill="1" applyBorder="1" applyAlignment="1" applyProtection="1">
      <alignment horizontal="right" vertical="center"/>
    </xf>
    <xf numFmtId="2" fontId="152" fillId="0" borderId="34" xfId="0" applyNumberFormat="1" applyFont="1" applyFill="1" applyBorder="1" applyAlignment="1" applyProtection="1">
      <alignment horizontal="center" vertical="center"/>
    </xf>
    <xf numFmtId="0" fontId="128" fillId="0" borderId="15" xfId="0" applyFont="1" applyFill="1" applyBorder="1" applyAlignment="1" applyProtection="1">
      <alignment vertical="center"/>
    </xf>
    <xf numFmtId="4" fontId="96" fillId="37" borderId="49" xfId="0" applyNumberFormat="1" applyFont="1" applyFill="1" applyBorder="1" applyAlignment="1" applyProtection="1">
      <alignment vertical="center"/>
      <protection locked="0"/>
    </xf>
    <xf numFmtId="3" fontId="96" fillId="37" borderId="29" xfId="0" applyNumberFormat="1" applyFont="1" applyFill="1" applyBorder="1" applyAlignment="1" applyProtection="1">
      <alignment horizontal="right" vertical="center"/>
      <protection locked="0"/>
    </xf>
    <xf numFmtId="236" fontId="172" fillId="32" borderId="0" xfId="0" applyNumberFormat="1" applyFont="1" applyFill="1" applyBorder="1" applyAlignment="1" applyProtection="1">
      <alignment vertical="center" wrapText="1"/>
    </xf>
    <xf numFmtId="14" fontId="60" fillId="0" borderId="0" xfId="0" applyNumberFormat="1" applyFont="1" applyFill="1" applyProtection="1">
      <protection locked="0"/>
    </xf>
    <xf numFmtId="0" fontId="0" fillId="0" borderId="0" xfId="0" applyFill="1" applyProtection="1">
      <protection locked="0"/>
    </xf>
    <xf numFmtId="14" fontId="377" fillId="0" borderId="0" xfId="0" applyNumberFormat="1" applyFont="1" applyFill="1" applyProtection="1">
      <protection locked="0"/>
    </xf>
    <xf numFmtId="0" fontId="378" fillId="0" borderId="0" xfId="0" applyFont="1" applyFill="1" applyProtection="1">
      <protection locked="0"/>
    </xf>
    <xf numFmtId="0" fontId="15" fillId="0" borderId="0" xfId="0" applyFont="1" applyFill="1" applyBorder="1" applyAlignment="1">
      <alignment vertical="center"/>
    </xf>
    <xf numFmtId="2" fontId="152" fillId="0" borderId="13" xfId="0" applyNumberFormat="1" applyFont="1" applyFill="1" applyBorder="1" applyAlignment="1" applyProtection="1">
      <alignment horizontal="right" vertical="center"/>
    </xf>
    <xf numFmtId="10" fontId="358" fillId="0" borderId="13" xfId="41" applyNumberFormat="1" applyFont="1" applyFill="1" applyBorder="1" applyAlignment="1" applyProtection="1">
      <alignment horizontal="right" vertical="center"/>
    </xf>
    <xf numFmtId="181" fontId="152" fillId="0" borderId="13" xfId="0" applyNumberFormat="1" applyFont="1" applyFill="1" applyBorder="1" applyAlignment="1" applyProtection="1">
      <alignment horizontal="right" vertical="center"/>
    </xf>
    <xf numFmtId="10" fontId="358" fillId="0" borderId="48" xfId="41" applyNumberFormat="1" applyFont="1" applyFill="1" applyBorder="1" applyAlignment="1" applyProtection="1">
      <alignment horizontal="right" vertical="center"/>
    </xf>
    <xf numFmtId="10" fontId="358" fillId="0" borderId="26" xfId="41" applyNumberFormat="1" applyFont="1" applyFill="1" applyBorder="1" applyAlignment="1" applyProtection="1">
      <alignment horizontal="right" vertical="center"/>
    </xf>
    <xf numFmtId="10" fontId="358" fillId="0" borderId="29" xfId="41" applyNumberFormat="1" applyFont="1" applyFill="1" applyBorder="1" applyAlignment="1" applyProtection="1">
      <alignment horizontal="right" vertical="center"/>
    </xf>
    <xf numFmtId="0" fontId="91" fillId="0" borderId="51" xfId="0" applyFont="1" applyFill="1" applyBorder="1" applyAlignment="1" applyProtection="1">
      <alignment vertical="center" wrapText="1"/>
    </xf>
    <xf numFmtId="181" fontId="152" fillId="0" borderId="51" xfId="0" applyNumberFormat="1" applyFont="1" applyFill="1" applyBorder="1" applyAlignment="1" applyProtection="1">
      <alignment horizontal="right" vertical="center"/>
    </xf>
    <xf numFmtId="10" fontId="152" fillId="0" borderId="32" xfId="41" applyNumberFormat="1" applyFont="1" applyFill="1" applyBorder="1" applyAlignment="1" applyProtection="1">
      <alignment horizontal="right" vertical="center"/>
    </xf>
    <xf numFmtId="0" fontId="26" fillId="32" borderId="0" xfId="58" quotePrefix="1" applyFont="1" applyFill="1" applyAlignment="1">
      <alignment horizontal="center"/>
    </xf>
    <xf numFmtId="0" fontId="26" fillId="32" borderId="0" xfId="58" quotePrefix="1" applyFont="1" applyFill="1" applyAlignment="1">
      <alignment horizontal="left"/>
    </xf>
    <xf numFmtId="0" fontId="379" fillId="63" borderId="0" xfId="0" applyFont="1" applyFill="1" applyBorder="1" applyProtection="1">
      <protection locked="0"/>
    </xf>
    <xf numFmtId="198" fontId="153" fillId="63" borderId="0" xfId="0" applyNumberFormat="1" applyFont="1" applyFill="1" applyBorder="1" applyAlignment="1" applyProtection="1">
      <alignment horizontal="left"/>
      <protection locked="0"/>
    </xf>
    <xf numFmtId="0" fontId="153" fillId="63" borderId="0" xfId="0" applyFont="1" applyFill="1" applyBorder="1" applyAlignment="1" applyProtection="1">
      <alignment horizontal="left"/>
      <protection locked="0"/>
    </xf>
    <xf numFmtId="0" fontId="152" fillId="63" borderId="0" xfId="0" applyFont="1" applyFill="1" applyBorder="1" applyAlignment="1" applyProtection="1">
      <alignment horizontal="left"/>
      <protection locked="0"/>
    </xf>
    <xf numFmtId="293" fontId="152" fillId="63" borderId="0" xfId="0" applyNumberFormat="1" applyFont="1" applyFill="1" applyBorder="1" applyAlignment="1" applyProtection="1">
      <alignment horizontal="left" vertical="center"/>
    </xf>
    <xf numFmtId="0" fontId="152" fillId="63" borderId="0" xfId="0" applyFont="1" applyFill="1" applyBorder="1" applyProtection="1">
      <protection locked="0"/>
    </xf>
    <xf numFmtId="0" fontId="26" fillId="32" borderId="0" xfId="58" quotePrefix="1" applyFont="1" applyFill="1" applyAlignment="1">
      <alignment horizontal="left"/>
    </xf>
    <xf numFmtId="0" fontId="3" fillId="32" borderId="35" xfId="114" applyFill="1" applyBorder="1"/>
    <xf numFmtId="0" fontId="3" fillId="32" borderId="36" xfId="114" applyFill="1" applyBorder="1"/>
    <xf numFmtId="0" fontId="3" fillId="32" borderId="52" xfId="114" applyFill="1" applyBorder="1"/>
    <xf numFmtId="0" fontId="3" fillId="32" borderId="0" xfId="114" applyFill="1"/>
    <xf numFmtId="0" fontId="359" fillId="32" borderId="37" xfId="114" applyFont="1" applyFill="1" applyBorder="1" applyAlignment="1" applyProtection="1">
      <alignment vertical="center"/>
    </xf>
    <xf numFmtId="0" fontId="359" fillId="32" borderId="0" xfId="114" applyFont="1" applyFill="1" applyBorder="1" applyAlignment="1" applyProtection="1">
      <alignment vertical="center"/>
    </xf>
    <xf numFmtId="0" fontId="360" fillId="32" borderId="0" xfId="114" applyFont="1" applyFill="1" applyBorder="1" applyAlignment="1" applyProtection="1">
      <alignment vertical="center"/>
    </xf>
    <xf numFmtId="0" fontId="360" fillId="32" borderId="38" xfId="114" applyFont="1" applyFill="1" applyBorder="1" applyAlignment="1" applyProtection="1">
      <alignment vertical="center"/>
    </xf>
    <xf numFmtId="0" fontId="361" fillId="32" borderId="0" xfId="114" applyFont="1" applyFill="1"/>
    <xf numFmtId="0" fontId="362" fillId="32" borderId="0" xfId="114" applyFont="1" applyFill="1" applyBorder="1" applyAlignment="1" applyProtection="1">
      <alignment vertical="center"/>
    </xf>
    <xf numFmtId="0" fontId="107" fillId="32" borderId="37" xfId="114" applyFont="1" applyFill="1" applyBorder="1" applyAlignment="1" applyProtection="1">
      <alignment vertical="center"/>
    </xf>
    <xf numFmtId="0" fontId="107" fillId="32" borderId="0" xfId="114" applyFont="1" applyFill="1" applyBorder="1" applyAlignment="1" applyProtection="1">
      <alignment vertical="center"/>
    </xf>
    <xf numFmtId="0" fontId="363" fillId="32" borderId="0" xfId="114" applyFont="1" applyFill="1" applyBorder="1" applyAlignment="1" applyProtection="1">
      <alignment vertical="center"/>
    </xf>
    <xf numFmtId="0" fontId="363" fillId="32" borderId="38" xfId="114" applyFont="1" applyFill="1" applyBorder="1" applyAlignment="1" applyProtection="1">
      <alignment vertical="center"/>
    </xf>
    <xf numFmtId="0" fontId="381" fillId="32" borderId="16" xfId="90" applyFont="1" applyFill="1" applyBorder="1" applyAlignment="1">
      <alignment vertical="center"/>
    </xf>
    <xf numFmtId="0" fontId="365" fillId="32" borderId="249" xfId="114" applyFont="1" applyFill="1" applyBorder="1" applyAlignment="1" applyProtection="1">
      <alignment vertical="center"/>
    </xf>
    <xf numFmtId="0" fontId="366" fillId="32" borderId="0" xfId="114" applyFont="1" applyFill="1" applyBorder="1" applyAlignment="1" applyProtection="1">
      <alignment vertical="center"/>
    </xf>
    <xf numFmtId="0" fontId="107" fillId="32" borderId="39" xfId="114" applyFont="1" applyFill="1" applyBorder="1" applyAlignment="1" applyProtection="1">
      <alignment vertical="center"/>
    </xf>
    <xf numFmtId="0" fontId="107" fillId="32" borderId="40" xfId="114" applyFont="1" applyFill="1" applyBorder="1" applyAlignment="1" applyProtection="1">
      <alignment vertical="center"/>
    </xf>
    <xf numFmtId="0" fontId="265" fillId="32" borderId="40" xfId="114" applyFont="1" applyFill="1" applyBorder="1" applyAlignment="1" applyProtection="1">
      <alignment vertical="center"/>
    </xf>
    <xf numFmtId="0" fontId="265" fillId="32" borderId="41" xfId="114" applyFont="1" applyFill="1" applyBorder="1" applyAlignment="1" applyProtection="1">
      <alignment vertical="center"/>
    </xf>
    <xf numFmtId="0" fontId="382" fillId="32" borderId="250" xfId="90" applyFont="1" applyFill="1" applyBorder="1" applyAlignment="1">
      <alignment vertical="center"/>
    </xf>
    <xf numFmtId="0" fontId="382" fillId="32" borderId="0" xfId="90" applyFont="1" applyFill="1" applyBorder="1" applyAlignment="1">
      <alignment vertical="center"/>
    </xf>
    <xf numFmtId="0" fontId="382" fillId="32" borderId="251" xfId="114" applyFont="1" applyFill="1" applyBorder="1" applyAlignment="1" applyProtection="1">
      <alignment horizontal="left" vertical="top" wrapText="1"/>
    </xf>
    <xf numFmtId="0" fontId="101" fillId="32" borderId="0" xfId="114" applyFont="1" applyFill="1" applyBorder="1" applyAlignment="1" applyProtection="1">
      <alignment horizontal="left" vertical="top" wrapText="1"/>
    </xf>
    <xf numFmtId="177" fontId="365" fillId="59" borderId="0" xfId="115" applyNumberFormat="1" applyFont="1" applyFill="1" applyBorder="1" applyAlignment="1" applyProtection="1">
      <alignment vertical="center"/>
      <protection locked="0"/>
    </xf>
    <xf numFmtId="0" fontId="107" fillId="32" borderId="43" xfId="114" applyFont="1" applyFill="1" applyBorder="1" applyAlignment="1" applyProtection="1">
      <alignment vertical="center"/>
    </xf>
    <xf numFmtId="0" fontId="107" fillId="32" borderId="16" xfId="114" applyFont="1" applyFill="1" applyBorder="1" applyAlignment="1" applyProtection="1">
      <alignment vertical="center"/>
    </xf>
    <xf numFmtId="0" fontId="265" fillId="32" borderId="16" xfId="114" applyFont="1" applyFill="1" applyBorder="1" applyAlignment="1" applyProtection="1">
      <alignment vertical="center"/>
    </xf>
    <xf numFmtId="0" fontId="265" fillId="32" borderId="17" xfId="114" applyFont="1" applyFill="1" applyBorder="1" applyAlignment="1" applyProtection="1">
      <alignment vertical="center"/>
    </xf>
    <xf numFmtId="0" fontId="265" fillId="32" borderId="115" xfId="114" applyFont="1" applyFill="1" applyBorder="1" applyAlignment="1" applyProtection="1">
      <alignment vertical="center"/>
    </xf>
    <xf numFmtId="0" fontId="265" fillId="32" borderId="0" xfId="114" applyFont="1" applyFill="1" applyBorder="1" applyAlignment="1" applyProtection="1">
      <alignment vertical="center"/>
    </xf>
    <xf numFmtId="0" fontId="265" fillId="32" borderId="44" xfId="114" applyFont="1" applyFill="1" applyBorder="1" applyAlignment="1" applyProtection="1">
      <alignment vertical="center"/>
    </xf>
    <xf numFmtId="0" fontId="382" fillId="32" borderId="250" xfId="90" applyFont="1" applyFill="1" applyBorder="1" applyAlignment="1">
      <alignment horizontal="left" vertical="center" wrapText="1"/>
    </xf>
    <xf numFmtId="0" fontId="109" fillId="32" borderId="115" xfId="114" applyFont="1" applyFill="1" applyBorder="1" applyAlignment="1" applyProtection="1">
      <alignment vertical="center"/>
    </xf>
    <xf numFmtId="0" fontId="361" fillId="32" borderId="0" xfId="114" applyFont="1" applyFill="1" applyBorder="1"/>
    <xf numFmtId="0" fontId="265" fillId="32" borderId="45" xfId="114" applyFont="1" applyFill="1" applyBorder="1" applyAlignment="1" applyProtection="1">
      <alignment vertical="center"/>
    </xf>
    <xf numFmtId="0" fontId="107" fillId="32" borderId="11" xfId="114" applyFont="1" applyFill="1" applyBorder="1" applyAlignment="1" applyProtection="1">
      <alignment vertical="center"/>
    </xf>
    <xf numFmtId="0" fontId="265" fillId="32" borderId="11" xfId="114" applyFont="1" applyFill="1" applyBorder="1" applyAlignment="1" applyProtection="1">
      <alignment vertical="center"/>
    </xf>
    <xf numFmtId="0" fontId="265" fillId="32" borderId="46" xfId="114" applyFont="1" applyFill="1" applyBorder="1" applyAlignment="1" applyProtection="1">
      <alignment vertical="center"/>
    </xf>
    <xf numFmtId="177" fontId="368" fillId="32" borderId="252" xfId="115" applyNumberFormat="1" applyFont="1" applyFill="1" applyBorder="1" applyAlignment="1">
      <alignment vertical="center"/>
    </xf>
    <xf numFmtId="0" fontId="369" fillId="32" borderId="15" xfId="114" applyFont="1" applyFill="1" applyBorder="1"/>
    <xf numFmtId="0" fontId="369" fillId="32" borderId="10" xfId="114" applyFont="1" applyFill="1" applyBorder="1"/>
    <xf numFmtId="0" fontId="3" fillId="32" borderId="10" xfId="114" applyFill="1" applyBorder="1"/>
    <xf numFmtId="0" fontId="3" fillId="32" borderId="12" xfId="114" applyFill="1" applyBorder="1"/>
    <xf numFmtId="0" fontId="365" fillId="32" borderId="253" xfId="114" applyFont="1" applyFill="1" applyBorder="1"/>
    <xf numFmtId="0" fontId="365" fillId="32" borderId="254" xfId="114" applyFont="1" applyFill="1" applyBorder="1"/>
    <xf numFmtId="0" fontId="365" fillId="32" borderId="255" xfId="114" applyFont="1" applyFill="1" applyBorder="1"/>
    <xf numFmtId="0" fontId="3" fillId="32" borderId="0" xfId="114" applyFont="1" applyFill="1" applyBorder="1"/>
    <xf numFmtId="0" fontId="3" fillId="32" borderId="43" xfId="114" applyFill="1" applyBorder="1"/>
    <xf numFmtId="0" fontId="3" fillId="32" borderId="16" xfId="114" applyFill="1" applyBorder="1"/>
    <xf numFmtId="0" fontId="3" fillId="32" borderId="17" xfId="114" applyFill="1" applyBorder="1"/>
    <xf numFmtId="0" fontId="351" fillId="32" borderId="115" xfId="114" applyFont="1" applyFill="1" applyBorder="1"/>
    <xf numFmtId="0" fontId="351" fillId="32" borderId="0" xfId="114" applyFont="1" applyFill="1" applyBorder="1"/>
    <xf numFmtId="0" fontId="3" fillId="32" borderId="0" xfId="114" applyFill="1" applyBorder="1"/>
    <xf numFmtId="0" fontId="3" fillId="32" borderId="44" xfId="114" applyFill="1" applyBorder="1"/>
    <xf numFmtId="0" fontId="123" fillId="32" borderId="0" xfId="114" applyFont="1" applyFill="1"/>
    <xf numFmtId="0" fontId="3" fillId="32" borderId="115" xfId="114" applyFill="1" applyBorder="1"/>
    <xf numFmtId="0" fontId="3" fillId="32" borderId="0" xfId="114" applyFont="1" applyFill="1" applyBorder="1" applyAlignment="1">
      <alignment horizontal="center"/>
    </xf>
    <xf numFmtId="293" fontId="3" fillId="32" borderId="0" xfId="114" applyNumberFormat="1" applyFont="1" applyFill="1" applyBorder="1" applyAlignment="1">
      <alignment horizontal="right"/>
    </xf>
    <xf numFmtId="293" fontId="3" fillId="59" borderId="44" xfId="114" applyNumberFormat="1" applyFont="1" applyFill="1" applyBorder="1" applyAlignment="1" applyProtection="1">
      <alignment horizontal="right"/>
      <protection locked="0"/>
    </xf>
    <xf numFmtId="0" fontId="3" fillId="32" borderId="0" xfId="114" applyFont="1" applyFill="1"/>
    <xf numFmtId="293" fontId="3" fillId="32" borderId="0" xfId="114" applyNumberFormat="1" applyFill="1" applyBorder="1" applyAlignment="1">
      <alignment horizontal="right"/>
    </xf>
    <xf numFmtId="293" fontId="3" fillId="59" borderId="44" xfId="114" applyNumberFormat="1" applyFill="1" applyBorder="1" applyProtection="1">
      <protection locked="0"/>
    </xf>
    <xf numFmtId="293" fontId="3" fillId="59" borderId="0" xfId="114" applyNumberFormat="1" applyFill="1" applyBorder="1" applyProtection="1">
      <protection locked="0"/>
    </xf>
    <xf numFmtId="0" fontId="370" fillId="32" borderId="0" xfId="114" applyFont="1" applyFill="1"/>
    <xf numFmtId="293" fontId="3" fillId="40" borderId="44" xfId="114" applyNumberFormat="1" applyFill="1" applyBorder="1" applyProtection="1">
      <protection locked="0"/>
    </xf>
    <xf numFmtId="293" fontId="371" fillId="32" borderId="0" xfId="114" applyNumberFormat="1" applyFont="1" applyFill="1" applyBorder="1"/>
    <xf numFmtId="293" fontId="371" fillId="32" borderId="44" xfId="114" applyNumberFormat="1" applyFont="1" applyFill="1" applyBorder="1"/>
    <xf numFmtId="2" fontId="3" fillId="32" borderId="0" xfId="114" applyNumberFormat="1" applyFill="1" applyBorder="1"/>
    <xf numFmtId="0" fontId="3" fillId="32" borderId="45" xfId="114" applyFill="1" applyBorder="1"/>
    <xf numFmtId="0" fontId="3" fillId="32" borderId="11" xfId="114" applyFill="1" applyBorder="1"/>
    <xf numFmtId="0" fontId="3" fillId="32" borderId="46" xfId="114" applyFill="1" applyBorder="1"/>
    <xf numFmtId="0" fontId="135" fillId="32" borderId="0" xfId="114" applyFont="1" applyFill="1" applyBorder="1"/>
    <xf numFmtId="2" fontId="3" fillId="32" borderId="10" xfId="114" applyNumberFormat="1" applyFill="1" applyBorder="1"/>
    <xf numFmtId="298" fontId="351" fillId="32" borderId="16" xfId="114" applyNumberFormat="1" applyFont="1" applyFill="1" applyBorder="1"/>
    <xf numFmtId="0" fontId="3" fillId="32" borderId="115" xfId="114" applyFont="1" applyFill="1" applyBorder="1"/>
    <xf numFmtId="293" fontId="3" fillId="0" borderId="0" xfId="114" applyNumberFormat="1" applyFont="1" applyFill="1" applyBorder="1" applyAlignment="1">
      <alignment horizontal="right"/>
    </xf>
    <xf numFmtId="2" fontId="3" fillId="32" borderId="11" xfId="114" applyNumberFormat="1" applyFill="1" applyBorder="1"/>
    <xf numFmtId="298" fontId="3" fillId="32" borderId="0" xfId="114" applyNumberFormat="1" applyFont="1" applyFill="1" applyBorder="1"/>
    <xf numFmtId="0" fontId="371" fillId="32" borderId="0" xfId="114" applyFont="1" applyFill="1" applyBorder="1"/>
    <xf numFmtId="0" fontId="369" fillId="32" borderId="0" xfId="114" applyFont="1" applyFill="1" applyBorder="1"/>
    <xf numFmtId="2" fontId="3" fillId="32" borderId="0" xfId="114" applyNumberFormat="1" applyFont="1" applyFill="1" applyBorder="1"/>
    <xf numFmtId="0" fontId="3" fillId="32" borderId="0" xfId="114" applyFill="1" applyBorder="1" applyAlignment="1">
      <alignment horizontal="center"/>
    </xf>
    <xf numFmtId="0" fontId="3" fillId="32" borderId="13" xfId="90" applyFont="1" applyFill="1" applyBorder="1" applyAlignment="1">
      <alignment horizontal="center" vertical="center"/>
    </xf>
    <xf numFmtId="2" fontId="3" fillId="32" borderId="0" xfId="90" applyNumberFormat="1" applyFont="1" applyFill="1" applyBorder="1" applyAlignment="1">
      <alignment vertical="center"/>
    </xf>
    <xf numFmtId="0" fontId="384" fillId="32" borderId="0" xfId="90" applyFont="1" applyFill="1" applyBorder="1"/>
    <xf numFmtId="0" fontId="384" fillId="32" borderId="0" xfId="114" applyFont="1" applyFill="1" applyBorder="1"/>
    <xf numFmtId="0" fontId="145" fillId="32" borderId="0" xfId="90" applyFont="1" applyFill="1" applyBorder="1"/>
    <xf numFmtId="293" fontId="385" fillId="32" borderId="0" xfId="90" applyNumberFormat="1" applyFont="1" applyFill="1" applyBorder="1"/>
    <xf numFmtId="293" fontId="3" fillId="40" borderId="11" xfId="114" applyNumberFormat="1" applyFill="1" applyBorder="1" applyProtection="1">
      <protection locked="0"/>
    </xf>
    <xf numFmtId="4" fontId="152" fillId="32" borderId="49" xfId="0" applyNumberFormat="1" applyFont="1" applyFill="1" applyBorder="1" applyAlignment="1" applyProtection="1">
      <alignment vertical="center"/>
      <protection locked="0"/>
    </xf>
    <xf numFmtId="3" fontId="152" fillId="32" borderId="29" xfId="0" applyNumberFormat="1" applyFont="1" applyFill="1" applyBorder="1" applyAlignment="1" applyProtection="1">
      <alignment horizontal="right" vertical="center"/>
      <protection locked="0"/>
    </xf>
    <xf numFmtId="2" fontId="152" fillId="32" borderId="34" xfId="0" applyNumberFormat="1" applyFont="1" applyFill="1" applyBorder="1" applyAlignment="1" applyProtection="1">
      <alignment vertical="center"/>
    </xf>
    <xf numFmtId="4" fontId="152" fillId="32" borderId="58" xfId="0" applyNumberFormat="1" applyFont="1" applyFill="1" applyBorder="1" applyAlignment="1" applyProtection="1">
      <alignment vertical="center"/>
    </xf>
    <xf numFmtId="4" fontId="152" fillId="32" borderId="72" xfId="0" applyNumberFormat="1" applyFont="1" applyFill="1" applyBorder="1" applyAlignment="1" applyProtection="1">
      <alignment vertical="center"/>
      <protection locked="0"/>
    </xf>
    <xf numFmtId="3" fontId="152" fillId="32" borderId="58" xfId="0" applyNumberFormat="1" applyFont="1" applyFill="1" applyBorder="1" applyAlignment="1" applyProtection="1">
      <alignment horizontal="right" vertical="center"/>
      <protection locked="0"/>
    </xf>
    <xf numFmtId="0" fontId="153" fillId="26" borderId="53" xfId="0" applyFont="1" applyFill="1" applyBorder="1" applyAlignment="1" applyProtection="1">
      <alignment vertical="center"/>
    </xf>
    <xf numFmtId="0" fontId="153" fillId="26" borderId="33" xfId="0" applyFont="1" applyFill="1" applyBorder="1" applyAlignment="1" applyProtection="1">
      <alignment horizontal="right" vertical="center"/>
    </xf>
    <xf numFmtId="4" fontId="153" fillId="0" borderId="53" xfId="0" applyNumberFormat="1" applyFont="1" applyFill="1" applyBorder="1" applyAlignment="1" applyProtection="1">
      <alignment vertical="center"/>
    </xf>
    <xf numFmtId="4" fontId="152" fillId="32" borderId="34" xfId="0" applyNumberFormat="1" applyFont="1" applyFill="1" applyBorder="1" applyAlignment="1" applyProtection="1">
      <alignment horizontal="right" vertical="center"/>
    </xf>
    <xf numFmtId="293" fontId="26" fillId="32" borderId="0" xfId="58" quotePrefix="1" applyNumberFormat="1" applyFont="1" applyFill="1" applyAlignment="1">
      <alignment horizontal="center"/>
    </xf>
    <xf numFmtId="14" fontId="60" fillId="0" borderId="0" xfId="0" applyNumberFormat="1" applyFont="1" applyFill="1"/>
    <xf numFmtId="10" fontId="367" fillId="32" borderId="251" xfId="114" applyNumberFormat="1" applyFont="1" applyFill="1" applyBorder="1" applyAlignment="1" applyProtection="1">
      <alignment horizontal="center" vertical="top" wrapText="1"/>
    </xf>
    <xf numFmtId="10" fontId="123" fillId="32" borderId="0" xfId="116" applyNumberFormat="1" applyFont="1" applyFill="1" applyBorder="1" applyProtection="1">
      <protection locked="0"/>
    </xf>
    <xf numFmtId="0" fontId="371" fillId="0" borderId="0" xfId="114" applyFont="1" applyFill="1"/>
    <xf numFmtId="2" fontId="123" fillId="59" borderId="13" xfId="90" applyNumberFormat="1" applyFont="1" applyFill="1" applyBorder="1" applyAlignment="1" applyProtection="1">
      <alignment vertical="center"/>
      <protection locked="0"/>
    </xf>
    <xf numFmtId="2" fontId="3" fillId="59" borderId="13" xfId="90" applyNumberFormat="1" applyFont="1" applyFill="1" applyBorder="1" applyAlignment="1" applyProtection="1">
      <alignment vertical="center"/>
      <protection locked="0"/>
    </xf>
    <xf numFmtId="10" fontId="6" fillId="32" borderId="0" xfId="111" applyNumberFormat="1" applyFont="1" applyFill="1"/>
    <xf numFmtId="293" fontId="3" fillId="32" borderId="0" xfId="114" applyNumberFormat="1" applyFill="1"/>
    <xf numFmtId="293" fontId="3" fillId="32" borderId="0" xfId="114" applyNumberFormat="1" applyFill="1" applyProtection="1">
      <protection locked="0"/>
    </xf>
    <xf numFmtId="0" fontId="2" fillId="32" borderId="0" xfId="114" applyFont="1" applyFill="1"/>
    <xf numFmtId="0" fontId="353" fillId="32" borderId="0" xfId="114" applyFont="1" applyFill="1" applyAlignment="1">
      <alignment horizontal="center"/>
    </xf>
    <xf numFmtId="293" fontId="3" fillId="59" borderId="0" xfId="114" applyNumberFormat="1" applyFill="1"/>
    <xf numFmtId="0" fontId="386" fillId="32" borderId="0" xfId="114" applyFont="1" applyFill="1" applyAlignment="1">
      <alignment horizontal="center"/>
    </xf>
    <xf numFmtId="0" fontId="387" fillId="32" borderId="257" xfId="114" applyFont="1" applyFill="1" applyBorder="1"/>
    <xf numFmtId="0" fontId="388" fillId="32" borderId="258" xfId="114" applyFont="1" applyFill="1" applyBorder="1"/>
    <xf numFmtId="293" fontId="387" fillId="32" borderId="259" xfId="114" applyNumberFormat="1" applyFont="1" applyFill="1" applyBorder="1"/>
    <xf numFmtId="0" fontId="387" fillId="32" borderId="258" xfId="114" applyFont="1" applyFill="1" applyBorder="1"/>
    <xf numFmtId="0" fontId="128" fillId="32" borderId="0" xfId="0" applyFont="1" applyFill="1" applyBorder="1" applyAlignment="1" applyProtection="1">
      <alignment vertical="center"/>
    </xf>
    <xf numFmtId="0" fontId="386" fillId="32" borderId="0" xfId="111" applyFont="1" applyFill="1" applyBorder="1" applyAlignment="1">
      <alignment horizontal="center"/>
    </xf>
    <xf numFmtId="292" fontId="123" fillId="32" borderId="0" xfId="90" applyNumberFormat="1" applyFont="1" applyFill="1" applyBorder="1"/>
    <xf numFmtId="177" fontId="365" fillId="32" borderId="0" xfId="112" applyNumberFormat="1" applyFont="1" applyFill="1" applyBorder="1" applyAlignment="1" applyProtection="1">
      <alignment vertical="center"/>
      <protection locked="0"/>
    </xf>
    <xf numFmtId="293" fontId="109" fillId="32" borderId="0" xfId="111" applyNumberFormat="1" applyFont="1" applyFill="1" applyBorder="1" applyAlignment="1" applyProtection="1">
      <alignment vertical="center"/>
      <protection locked="0"/>
    </xf>
    <xf numFmtId="2" fontId="389" fillId="48" borderId="101" xfId="90" applyNumberFormat="1" applyFont="1" applyFill="1" applyBorder="1" applyAlignment="1" applyProtection="1">
      <alignment horizontal="right" vertical="center"/>
      <protection locked="0"/>
    </xf>
    <xf numFmtId="2" fontId="389" fillId="48" borderId="101" xfId="0" applyNumberFormat="1" applyFont="1" applyFill="1" applyBorder="1" applyAlignment="1" applyProtection="1">
      <alignment horizontal="right" vertical="center"/>
      <protection locked="0"/>
    </xf>
    <xf numFmtId="2" fontId="389" fillId="48" borderId="95" xfId="0" applyNumberFormat="1" applyFont="1" applyFill="1" applyBorder="1" applyAlignment="1" applyProtection="1">
      <alignment horizontal="right" vertical="center"/>
      <protection locked="0"/>
    </xf>
    <xf numFmtId="3" fontId="389" fillId="48" borderId="101" xfId="90" applyNumberFormat="1" applyFont="1" applyFill="1" applyBorder="1" applyAlignment="1" applyProtection="1">
      <alignment horizontal="right" vertical="center"/>
      <protection locked="0"/>
    </xf>
    <xf numFmtId="3" fontId="389" fillId="48" borderId="101" xfId="0" applyNumberFormat="1" applyFont="1" applyFill="1" applyBorder="1" applyAlignment="1" applyProtection="1">
      <alignment horizontal="right" vertical="center"/>
      <protection locked="0"/>
    </xf>
    <xf numFmtId="3" fontId="389" fillId="48" borderId="103" xfId="90" applyNumberFormat="1" applyFont="1" applyFill="1" applyBorder="1" applyAlignment="1" applyProtection="1">
      <alignment horizontal="right" vertical="center"/>
      <protection locked="0"/>
    </xf>
    <xf numFmtId="3" fontId="389" fillId="48" borderId="103" xfId="0" applyNumberFormat="1" applyFont="1" applyFill="1" applyBorder="1" applyAlignment="1" applyProtection="1">
      <alignment horizontal="right" vertical="center"/>
      <protection locked="0"/>
    </xf>
    <xf numFmtId="3" fontId="20" fillId="47" borderId="12" xfId="0" applyNumberFormat="1" applyFont="1" applyFill="1" applyBorder="1" applyAlignment="1" applyProtection="1">
      <alignment vertical="center"/>
      <protection locked="0"/>
    </xf>
    <xf numFmtId="3" fontId="20" fillId="47" borderId="29" xfId="0" applyNumberFormat="1" applyFont="1" applyFill="1" applyBorder="1" applyAlignment="1" applyProtection="1">
      <alignment vertical="center"/>
      <protection locked="0"/>
    </xf>
    <xf numFmtId="293" fontId="7" fillId="32" borderId="0" xfId="111" applyNumberFormat="1" applyFill="1" applyBorder="1" applyProtection="1">
      <protection locked="0"/>
    </xf>
    <xf numFmtId="0" fontId="365" fillId="32" borderId="0" xfId="0" applyFont="1" applyFill="1" applyBorder="1" applyProtection="1">
      <protection locked="0"/>
    </xf>
    <xf numFmtId="0" fontId="374" fillId="32" borderId="0" xfId="0" applyFont="1" applyFill="1" applyBorder="1" applyAlignment="1" applyProtection="1">
      <alignment horizontal="left"/>
    </xf>
    <xf numFmtId="0" fontId="373" fillId="32" borderId="0" xfId="0" applyFont="1" applyFill="1" applyBorder="1"/>
    <xf numFmtId="0" fontId="365" fillId="32" borderId="0" xfId="0" applyFont="1" applyFill="1" applyBorder="1" applyAlignment="1" applyProtection="1">
      <alignment horizontal="left"/>
    </xf>
    <xf numFmtId="0" fontId="88" fillId="0" borderId="69" xfId="0" applyFont="1" applyBorder="1" applyAlignment="1" applyProtection="1">
      <alignment horizontal="center"/>
    </xf>
    <xf numFmtId="0" fontId="88" fillId="0" borderId="81" xfId="0" applyFont="1" applyBorder="1" applyAlignment="1" applyProtection="1">
      <alignment horizontal="center"/>
    </xf>
    <xf numFmtId="0" fontId="88" fillId="0" borderId="92" xfId="0" applyFont="1" applyBorder="1" applyAlignment="1" applyProtection="1">
      <alignment horizontal="center"/>
    </xf>
    <xf numFmtId="0" fontId="274" fillId="0" borderId="0" xfId="0" applyFont="1" applyAlignment="1" applyProtection="1">
      <alignment horizontal="center"/>
    </xf>
    <xf numFmtId="0" fontId="182" fillId="47" borderId="15" xfId="0" applyFont="1" applyFill="1" applyBorder="1" applyAlignment="1" applyProtection="1">
      <alignment vertical="center"/>
      <protection locked="0"/>
    </xf>
    <xf numFmtId="0" fontId="182" fillId="47" borderId="12" xfId="0" applyFont="1" applyFill="1" applyBorder="1" applyAlignment="1" applyProtection="1">
      <alignment vertical="center"/>
      <protection locked="0"/>
    </xf>
    <xf numFmtId="173" fontId="182" fillId="47" borderId="15" xfId="0" applyNumberFormat="1" applyFont="1" applyFill="1" applyBorder="1" applyAlignment="1" applyProtection="1">
      <alignment horizontal="center" vertical="center"/>
      <protection locked="0"/>
    </xf>
    <xf numFmtId="173" fontId="182" fillId="47" borderId="12" xfId="0" applyNumberFormat="1" applyFont="1" applyFill="1" applyBorder="1" applyAlignment="1" applyProtection="1">
      <alignment horizontal="center" vertical="center"/>
      <protection locked="0"/>
    </xf>
    <xf numFmtId="0" fontId="244" fillId="0" borderId="40" xfId="0" applyFont="1" applyBorder="1" applyAlignment="1" applyProtection="1">
      <alignment horizontal="center"/>
    </xf>
    <xf numFmtId="0" fontId="182" fillId="52" borderId="15" xfId="0" applyFont="1" applyFill="1" applyBorder="1" applyAlignment="1" applyProtection="1">
      <alignment horizontal="left" vertical="center" shrinkToFit="1"/>
      <protection locked="0"/>
    </xf>
    <xf numFmtId="0" fontId="182" fillId="52" borderId="10" xfId="0" applyFont="1" applyFill="1" applyBorder="1" applyAlignment="1" applyProtection="1">
      <alignment horizontal="left" vertical="center" shrinkToFit="1"/>
      <protection locked="0"/>
    </xf>
    <xf numFmtId="0" fontId="182" fillId="52" borderId="12" xfId="0" applyFont="1" applyFill="1" applyBorder="1" applyAlignment="1" applyProtection="1">
      <alignment horizontal="left" vertical="center" shrinkToFit="1"/>
      <protection locked="0"/>
    </xf>
    <xf numFmtId="0" fontId="191" fillId="52" borderId="15" xfId="0" applyFont="1" applyFill="1" applyBorder="1" applyAlignment="1" applyProtection="1">
      <alignment horizontal="left"/>
    </xf>
    <xf numFmtId="0" fontId="191" fillId="52" borderId="10" xfId="0" applyFont="1" applyFill="1" applyBorder="1" applyAlignment="1" applyProtection="1">
      <alignment horizontal="left"/>
    </xf>
    <xf numFmtId="0" fontId="191" fillId="52" borderId="12" xfId="0" applyFont="1" applyFill="1" applyBorder="1" applyAlignment="1" applyProtection="1">
      <alignment horizontal="left"/>
    </xf>
    <xf numFmtId="0" fontId="277" fillId="51" borderId="15" xfId="0" applyFont="1" applyFill="1" applyBorder="1" applyAlignment="1" applyProtection="1">
      <alignment horizontal="left"/>
    </xf>
    <xf numFmtId="0" fontId="277" fillId="51" borderId="10" xfId="0" applyFont="1" applyFill="1" applyBorder="1" applyAlignment="1" applyProtection="1">
      <alignment horizontal="left"/>
    </xf>
    <xf numFmtId="0" fontId="277" fillId="51" borderId="12" xfId="0" applyFont="1" applyFill="1" applyBorder="1" applyAlignment="1" applyProtection="1">
      <alignment horizontal="left"/>
    </xf>
    <xf numFmtId="0" fontId="182" fillId="52" borderId="15" xfId="0" applyFont="1" applyFill="1" applyBorder="1" applyAlignment="1" applyProtection="1">
      <alignment horizontal="left" vertical="center"/>
      <protection locked="0"/>
    </xf>
    <xf numFmtId="0" fontId="182" fillId="52" borderId="10" xfId="0" applyFont="1" applyFill="1" applyBorder="1" applyAlignment="1" applyProtection="1">
      <alignment horizontal="left" vertical="center"/>
      <protection locked="0"/>
    </xf>
    <xf numFmtId="0" fontId="182" fillId="52" borderId="12" xfId="0" applyFont="1" applyFill="1" applyBorder="1" applyAlignment="1" applyProtection="1">
      <alignment horizontal="left" vertical="center"/>
      <protection locked="0"/>
    </xf>
    <xf numFmtId="0" fontId="182" fillId="52" borderId="15" xfId="0" applyFont="1" applyFill="1" applyBorder="1" applyAlignment="1" applyProtection="1">
      <alignment horizontal="center" vertical="center"/>
      <protection locked="0"/>
    </xf>
    <xf numFmtId="0" fontId="182" fillId="52" borderId="12" xfId="0" applyFont="1" applyFill="1" applyBorder="1" applyAlignment="1" applyProtection="1">
      <alignment horizontal="center" vertical="center"/>
      <protection locked="0"/>
    </xf>
    <xf numFmtId="0" fontId="244" fillId="0" borderId="0" xfId="0" applyFont="1" applyFill="1" applyBorder="1" applyAlignment="1" applyProtection="1">
      <alignment horizontal="left" vertical="top" wrapText="1"/>
    </xf>
    <xf numFmtId="0" fontId="244" fillId="0" borderId="38" xfId="0" applyFont="1" applyFill="1" applyBorder="1" applyAlignment="1" applyProtection="1">
      <alignment horizontal="left" vertical="top" wrapText="1"/>
    </xf>
    <xf numFmtId="14" fontId="96" fillId="0" borderId="0" xfId="0" applyNumberFormat="1" applyFont="1" applyFill="1" applyBorder="1" applyAlignment="1" applyProtection="1">
      <alignment horizontal="center" vertical="center"/>
    </xf>
    <xf numFmtId="0" fontId="96" fillId="0" borderId="0" xfId="0" applyFont="1" applyFill="1" applyBorder="1" applyAlignment="1" applyProtection="1">
      <alignment horizontal="center" vertical="center"/>
    </xf>
    <xf numFmtId="0" fontId="202" fillId="0" borderId="0" xfId="0" applyFont="1" applyFill="1" applyBorder="1" applyAlignment="1" applyProtection="1">
      <alignment horizontal="center"/>
    </xf>
    <xf numFmtId="0" fontId="151" fillId="0" borderId="0" xfId="0" applyFont="1" applyFill="1" applyBorder="1" applyAlignment="1" applyProtection="1">
      <alignment horizontal="center" vertical="center"/>
    </xf>
    <xf numFmtId="0" fontId="205" fillId="0" borderId="0" xfId="0" applyFont="1" applyFill="1" applyBorder="1" applyAlignment="1" applyProtection="1">
      <alignment horizontal="center" vertical="center"/>
    </xf>
    <xf numFmtId="0" fontId="346" fillId="0" borderId="0" xfId="0" applyFont="1" applyFill="1" applyBorder="1" applyAlignment="1">
      <alignment horizontal="left" vertical="center" wrapText="1"/>
    </xf>
    <xf numFmtId="176" fontId="151" fillId="0" borderId="80" xfId="0" applyNumberFormat="1" applyFont="1" applyFill="1" applyBorder="1" applyAlignment="1" applyProtection="1">
      <alignment horizontal="center" vertical="center"/>
    </xf>
    <xf numFmtId="176" fontId="151" fillId="0" borderId="82" xfId="0" applyNumberFormat="1" applyFont="1" applyFill="1" applyBorder="1" applyAlignment="1" applyProtection="1">
      <alignment horizontal="center" vertical="center"/>
    </xf>
    <xf numFmtId="176" fontId="151" fillId="0" borderId="91" xfId="0" applyNumberFormat="1" applyFont="1" applyFill="1" applyBorder="1" applyAlignment="1" applyProtection="1">
      <alignment horizontal="center" vertical="center"/>
    </xf>
    <xf numFmtId="0" fontId="205" fillId="0" borderId="35" xfId="0" applyFont="1" applyBorder="1" applyAlignment="1" applyProtection="1">
      <alignment horizontal="center"/>
    </xf>
    <xf numFmtId="0" fontId="205" fillId="0" borderId="52" xfId="0" applyFont="1" applyBorder="1" applyAlignment="1" applyProtection="1">
      <alignment horizontal="center"/>
    </xf>
    <xf numFmtId="0" fontId="205" fillId="0" borderId="47" xfId="0" applyFont="1" applyBorder="1" applyAlignment="1" applyProtection="1">
      <alignment horizontal="center" vertical="center"/>
    </xf>
    <xf numFmtId="0" fontId="205" fillId="0" borderId="61" xfId="0" applyFont="1" applyBorder="1" applyAlignment="1" applyProtection="1">
      <alignment horizontal="center" vertical="center"/>
    </xf>
    <xf numFmtId="0" fontId="88" fillId="0" borderId="0" xfId="0" applyFont="1" applyFill="1" applyBorder="1" applyAlignment="1" applyProtection="1">
      <alignment horizontal="center" vertical="center" wrapText="1"/>
    </xf>
    <xf numFmtId="0" fontId="125" fillId="0" borderId="53" xfId="0" applyFont="1" applyBorder="1" applyAlignment="1" applyProtection="1">
      <alignment horizontal="center" vertical="center"/>
    </xf>
    <xf numFmtId="0" fontId="125" fillId="0" borderId="54" xfId="0" applyFont="1" applyBorder="1" applyAlignment="1" applyProtection="1">
      <alignment horizontal="center" vertical="center"/>
    </xf>
    <xf numFmtId="0" fontId="125" fillId="0" borderId="59" xfId="0" applyFont="1" applyBorder="1" applyAlignment="1" applyProtection="1">
      <alignment horizontal="center" vertical="center"/>
    </xf>
    <xf numFmtId="0" fontId="139" fillId="0" borderId="35" xfId="0" applyFont="1" applyBorder="1" applyAlignment="1" applyProtection="1">
      <alignment horizontal="center" vertical="center"/>
    </xf>
    <xf numFmtId="0" fontId="139" fillId="0" borderId="36" xfId="0" applyFont="1" applyBorder="1" applyAlignment="1" applyProtection="1">
      <alignment horizontal="center" vertical="center"/>
    </xf>
    <xf numFmtId="0" fontId="139" fillId="0" borderId="52" xfId="0" applyFont="1" applyBorder="1" applyAlignment="1" applyProtection="1">
      <alignment horizontal="center" vertical="center"/>
    </xf>
    <xf numFmtId="49" fontId="139" fillId="0" borderId="112" xfId="0" applyNumberFormat="1" applyFont="1" applyBorder="1" applyAlignment="1" applyProtection="1">
      <alignment horizontal="center" vertical="center" wrapText="1"/>
    </xf>
    <xf numFmtId="49" fontId="139" fillId="0" borderId="113" xfId="0" applyNumberFormat="1" applyFont="1" applyBorder="1" applyAlignment="1" applyProtection="1">
      <alignment horizontal="center" vertical="center" wrapText="1"/>
    </xf>
    <xf numFmtId="49" fontId="139" fillId="0" borderId="114" xfId="0" applyNumberFormat="1" applyFont="1" applyBorder="1" applyAlignment="1" applyProtection="1">
      <alignment horizontal="center" vertical="center" wrapText="1"/>
    </xf>
    <xf numFmtId="0" fontId="96" fillId="0" borderId="78" xfId="0" applyFont="1" applyBorder="1" applyAlignment="1" applyProtection="1">
      <alignment horizontal="center" vertical="center"/>
    </xf>
    <xf numFmtId="0" fontId="96" fillId="0" borderId="105" xfId="0" applyFont="1" applyBorder="1" applyAlignment="1" applyProtection="1">
      <alignment horizontal="center" vertical="center"/>
    </xf>
    <xf numFmtId="0" fontId="96" fillId="34" borderId="63" xfId="0" applyFont="1" applyFill="1" applyBorder="1" applyAlignment="1" applyProtection="1">
      <alignment horizontal="center" vertical="center" wrapText="1"/>
    </xf>
    <xf numFmtId="0" fontId="96" fillId="34" borderId="64" xfId="0" applyFont="1" applyFill="1" applyBorder="1" applyAlignment="1" applyProtection="1">
      <alignment horizontal="center" vertical="center" wrapText="1"/>
    </xf>
    <xf numFmtId="0" fontId="139" fillId="0" borderId="73" xfId="0" applyFont="1" applyBorder="1" applyAlignment="1" applyProtection="1">
      <alignment horizontal="center" vertical="center" wrapText="1"/>
    </xf>
    <xf numFmtId="0" fontId="139" fillId="0" borderId="64" xfId="0" applyFont="1" applyBorder="1" applyAlignment="1" applyProtection="1">
      <alignment horizontal="center" vertical="center" wrapText="1"/>
    </xf>
    <xf numFmtId="0" fontId="183" fillId="34" borderId="63" xfId="0" applyFont="1" applyFill="1" applyBorder="1" applyAlignment="1" applyProtection="1">
      <alignment horizontal="center" vertical="center" wrapText="1"/>
    </xf>
    <xf numFmtId="0" fontId="183" fillId="34" borderId="64" xfId="0" applyFont="1" applyFill="1" applyBorder="1" applyAlignment="1" applyProtection="1">
      <alignment horizontal="center" vertical="center" wrapText="1"/>
    </xf>
    <xf numFmtId="0" fontId="178" fillId="0" borderId="63" xfId="0" applyFont="1" applyBorder="1" applyAlignment="1" applyProtection="1">
      <alignment horizontal="center" vertical="center" wrapText="1"/>
    </xf>
    <xf numFmtId="0" fontId="178" fillId="0" borderId="64" xfId="0" applyFont="1" applyBorder="1" applyAlignment="1" applyProtection="1">
      <alignment horizontal="center" vertical="center" wrapText="1"/>
    </xf>
    <xf numFmtId="0" fontId="139" fillId="0" borderId="78" xfId="0" applyFont="1" applyBorder="1" applyAlignment="1" applyProtection="1">
      <alignment horizontal="center" wrapText="1"/>
    </xf>
    <xf numFmtId="0" fontId="139" fillId="0" borderId="104" xfId="0" applyFont="1" applyBorder="1" applyAlignment="1" applyProtection="1">
      <alignment horizontal="center" wrapText="1"/>
    </xf>
    <xf numFmtId="0" fontId="219" fillId="0" borderId="40" xfId="0" applyFont="1" applyFill="1" applyBorder="1" applyAlignment="1" applyProtection="1">
      <alignment horizontal="left" vertical="top" wrapText="1"/>
    </xf>
    <xf numFmtId="0" fontId="219" fillId="0" borderId="41" xfId="0" applyFont="1" applyFill="1" applyBorder="1" applyAlignment="1" applyProtection="1">
      <alignment horizontal="left" vertical="top" wrapText="1"/>
    </xf>
    <xf numFmtId="0" fontId="96" fillId="0" borderId="53" xfId="0" applyFont="1" applyBorder="1" applyAlignment="1" applyProtection="1">
      <alignment vertical="center" wrapText="1"/>
    </xf>
    <xf numFmtId="0" fontId="96" fillId="0" borderId="54" xfId="0" applyFont="1" applyBorder="1" applyAlignment="1" applyProtection="1">
      <alignment vertical="center" wrapText="1"/>
    </xf>
    <xf numFmtId="0" fontId="96" fillId="0" borderId="59" xfId="0" applyFont="1" applyBorder="1" applyAlignment="1" applyProtection="1">
      <alignment vertical="center" wrapText="1"/>
    </xf>
    <xf numFmtId="0" fontId="22" fillId="40" borderId="45" xfId="0" applyFont="1" applyFill="1" applyBorder="1" applyAlignment="1">
      <alignment horizontal="left" vertical="center"/>
    </xf>
    <xf numFmtId="0" fontId="22" fillId="40" borderId="11" xfId="0" applyFont="1" applyFill="1" applyBorder="1" applyAlignment="1">
      <alignment horizontal="left" vertical="center"/>
    </xf>
    <xf numFmtId="0" fontId="22" fillId="40" borderId="61" xfId="0" applyFont="1" applyFill="1" applyBorder="1" applyAlignment="1">
      <alignment horizontal="left" vertical="center"/>
    </xf>
    <xf numFmtId="0" fontId="15" fillId="0" borderId="238" xfId="90" applyFont="1" applyBorder="1" applyAlignment="1">
      <alignment horizontal="left" vertical="center"/>
    </xf>
    <xf numFmtId="0" fontId="15" fillId="0" borderId="93" xfId="90" applyFont="1" applyBorder="1" applyAlignment="1">
      <alignment horizontal="left" vertical="center"/>
    </xf>
    <xf numFmtId="0" fontId="15" fillId="0" borderId="10" xfId="90" applyFont="1" applyBorder="1" applyAlignment="1">
      <alignment horizontal="center" vertical="center"/>
    </xf>
    <xf numFmtId="0" fontId="15" fillId="0" borderId="105" xfId="90" applyFont="1" applyBorder="1" applyAlignment="1">
      <alignment horizontal="center" vertical="center"/>
    </xf>
    <xf numFmtId="295" fontId="350" fillId="32" borderId="0" xfId="106" applyNumberFormat="1" applyFont="1" applyFill="1" applyAlignment="1">
      <alignment horizontal="left"/>
    </xf>
    <xf numFmtId="0" fontId="22" fillId="32" borderId="0" xfId="106" applyFont="1" applyFill="1" applyAlignment="1" applyProtection="1">
      <alignment horizontal="left" vertical="top" wrapText="1"/>
    </xf>
    <xf numFmtId="0" fontId="22" fillId="32" borderId="54" xfId="106" applyFont="1" applyFill="1" applyBorder="1" applyAlignment="1" applyProtection="1">
      <alignment horizontal="left" vertical="center" wrapText="1"/>
    </xf>
    <xf numFmtId="0" fontId="22" fillId="32" borderId="59" xfId="106" applyFont="1" applyFill="1" applyBorder="1" applyAlignment="1" applyProtection="1">
      <alignment horizontal="left" vertical="center" wrapText="1"/>
    </xf>
    <xf numFmtId="10" fontId="336" fillId="32" borderId="34" xfId="107" applyNumberFormat="1" applyFont="1" applyFill="1" applyBorder="1" applyAlignment="1" applyProtection="1">
      <alignment horizontal="center" vertical="center"/>
    </xf>
    <xf numFmtId="0" fontId="380" fillId="32" borderId="243" xfId="114" applyFont="1" applyFill="1" applyBorder="1" applyAlignment="1" applyProtection="1">
      <alignment horizontal="center" vertical="center" wrapText="1"/>
    </xf>
    <xf numFmtId="0" fontId="380" fillId="32" borderId="244" xfId="114" applyFont="1" applyFill="1" applyBorder="1" applyAlignment="1" applyProtection="1">
      <alignment horizontal="center" vertical="center"/>
    </xf>
    <xf numFmtId="0" fontId="380" fillId="32" borderId="245" xfId="114" applyFont="1" applyFill="1" applyBorder="1" applyAlignment="1" applyProtection="1">
      <alignment horizontal="center" vertical="center"/>
    </xf>
    <xf numFmtId="0" fontId="380" fillId="32" borderId="246" xfId="114" applyFont="1" applyFill="1" applyBorder="1" applyAlignment="1" applyProtection="1">
      <alignment horizontal="center" vertical="center"/>
    </xf>
    <xf numFmtId="0" fontId="380" fillId="32" borderId="11" xfId="114" applyFont="1" applyFill="1" applyBorder="1" applyAlignment="1" applyProtection="1">
      <alignment horizontal="center" vertical="center"/>
    </xf>
    <xf numFmtId="0" fontId="380" fillId="32" borderId="247" xfId="114" applyFont="1" applyFill="1" applyBorder="1" applyAlignment="1" applyProtection="1">
      <alignment horizontal="center" vertical="center"/>
    </xf>
    <xf numFmtId="0" fontId="383" fillId="0" borderId="81" xfId="114" applyFont="1" applyFill="1" applyBorder="1" applyAlignment="1" applyProtection="1">
      <alignment horizontal="center" vertical="center"/>
    </xf>
    <xf numFmtId="0" fontId="376" fillId="32" borderId="243" xfId="111" applyFont="1" applyFill="1" applyBorder="1" applyAlignment="1" applyProtection="1">
      <alignment horizontal="center" vertical="center" wrapText="1"/>
    </xf>
    <xf numFmtId="0" fontId="376" fillId="32" borderId="244" xfId="111" applyFont="1" applyFill="1" applyBorder="1" applyAlignment="1" applyProtection="1">
      <alignment horizontal="center" vertical="center"/>
    </xf>
    <xf numFmtId="0" fontId="376" fillId="32" borderId="245" xfId="111" applyFont="1" applyFill="1" applyBorder="1" applyAlignment="1" applyProtection="1">
      <alignment horizontal="center" vertical="center"/>
    </xf>
    <xf numFmtId="0" fontId="376" fillId="32" borderId="246" xfId="111" applyFont="1" applyFill="1" applyBorder="1" applyAlignment="1" applyProtection="1">
      <alignment horizontal="center" vertical="center"/>
    </xf>
    <xf numFmtId="0" fontId="376" fillId="32" borderId="11" xfId="111" applyFont="1" applyFill="1" applyBorder="1" applyAlignment="1" applyProtection="1">
      <alignment horizontal="center" vertical="center"/>
    </xf>
    <xf numFmtId="0" fontId="376" fillId="32" borderId="247" xfId="111" applyFont="1" applyFill="1" applyBorder="1" applyAlignment="1" applyProtection="1">
      <alignment horizontal="center" vertical="center"/>
    </xf>
    <xf numFmtId="0" fontId="1" fillId="63" borderId="35" xfId="111" applyFont="1" applyFill="1" applyBorder="1" applyAlignment="1">
      <alignment horizontal="center" vertical="center" wrapText="1"/>
    </xf>
    <xf numFmtId="0" fontId="7" fillId="63" borderId="36" xfId="111" applyFill="1" applyBorder="1" applyAlignment="1">
      <alignment horizontal="center" vertical="center" wrapText="1"/>
    </xf>
    <xf numFmtId="0" fontId="7" fillId="63" borderId="52" xfId="111" applyFill="1" applyBorder="1" applyAlignment="1">
      <alignment horizontal="center" vertical="center" wrapText="1"/>
    </xf>
    <xf numFmtId="0" fontId="7" fillId="63" borderId="37" xfId="111" applyFill="1" applyBorder="1" applyAlignment="1">
      <alignment horizontal="center" vertical="center" wrapText="1"/>
    </xf>
    <xf numFmtId="0" fontId="7" fillId="63" borderId="0" xfId="111" applyFill="1" applyAlignment="1">
      <alignment horizontal="center" vertical="center" wrapText="1"/>
    </xf>
    <xf numFmtId="0" fontId="7" fillId="63" borderId="38" xfId="111" applyFill="1" applyBorder="1" applyAlignment="1">
      <alignment horizontal="center" vertical="center" wrapText="1"/>
    </xf>
    <xf numFmtId="0" fontId="7" fillId="63" borderId="39" xfId="111" applyFill="1" applyBorder="1" applyAlignment="1">
      <alignment horizontal="center" vertical="center" wrapText="1"/>
    </xf>
    <xf numFmtId="0" fontId="7" fillId="63" borderId="40" xfId="111" applyFill="1" applyBorder="1" applyAlignment="1">
      <alignment horizontal="center" vertical="center" wrapText="1"/>
    </xf>
    <xf numFmtId="0" fontId="7" fillId="63" borderId="41" xfId="111" applyFill="1" applyBorder="1" applyAlignment="1">
      <alignment horizontal="center" vertical="center" wrapText="1"/>
    </xf>
    <xf numFmtId="0" fontId="1" fillId="63" borderId="53" xfId="111" applyFont="1" applyFill="1" applyBorder="1" applyAlignment="1">
      <alignment horizontal="center" vertical="center" wrapText="1"/>
    </xf>
    <xf numFmtId="0" fontId="7" fillId="63" borderId="59" xfId="111" applyFill="1" applyBorder="1" applyAlignment="1">
      <alignment horizontal="center" vertical="center" wrapText="1"/>
    </xf>
    <xf numFmtId="0" fontId="96" fillId="0" borderId="35" xfId="0" applyFont="1" applyBorder="1" applyAlignment="1" applyProtection="1">
      <alignment vertical="center"/>
      <protection locked="0"/>
    </xf>
    <xf numFmtId="0" fontId="96" fillId="0" borderId="36" xfId="0" applyFont="1" applyBorder="1" applyAlignment="1" applyProtection="1">
      <alignment vertical="center"/>
      <protection locked="0"/>
    </xf>
    <xf numFmtId="0" fontId="139" fillId="0" borderId="10" xfId="0" applyFont="1" applyBorder="1" applyAlignment="1" applyProtection="1"/>
    <xf numFmtId="0" fontId="182" fillId="32" borderId="15" xfId="0" applyFont="1" applyFill="1" applyBorder="1" applyAlignment="1" applyProtection="1">
      <alignment horizontal="center"/>
    </xf>
    <xf numFmtId="0" fontId="182" fillId="32" borderId="12" xfId="0" applyFont="1" applyFill="1" applyBorder="1" applyAlignment="1" applyProtection="1">
      <alignment horizontal="center"/>
    </xf>
    <xf numFmtId="10" fontId="125" fillId="32" borderId="0" xfId="0" applyNumberFormat="1" applyFont="1" applyFill="1" applyBorder="1" applyAlignment="1" applyProtection="1">
      <alignment horizontal="center" vertical="center"/>
    </xf>
    <xf numFmtId="215" fontId="96" fillId="0" borderId="36" xfId="0" quotePrefix="1" applyNumberFormat="1" applyFont="1" applyBorder="1" applyAlignment="1" applyProtection="1">
      <alignment horizontal="right"/>
      <protection locked="0"/>
    </xf>
    <xf numFmtId="215" fontId="96" fillId="0" borderId="52" xfId="0" quotePrefix="1" applyNumberFormat="1" applyFont="1" applyBorder="1" applyAlignment="1" applyProtection="1">
      <alignment horizontal="right"/>
      <protection locked="0"/>
    </xf>
    <xf numFmtId="0" fontId="182" fillId="32" borderId="10" xfId="0" applyFont="1" applyFill="1" applyBorder="1" applyAlignment="1" applyProtection="1">
      <alignment shrinkToFit="1"/>
    </xf>
    <xf numFmtId="0" fontId="182" fillId="32" borderId="12" xfId="0" applyFont="1" applyFill="1" applyBorder="1" applyAlignment="1" applyProtection="1">
      <alignment shrinkToFit="1"/>
    </xf>
    <xf numFmtId="0" fontId="182" fillId="32" borderId="15" xfId="0" applyFont="1" applyFill="1" applyBorder="1" applyAlignment="1" applyProtection="1">
      <alignment shrinkToFit="1"/>
    </xf>
    <xf numFmtId="0" fontId="182" fillId="32" borderId="105" xfId="0" applyFont="1" applyFill="1" applyBorder="1" applyAlignment="1" applyProtection="1">
      <alignment shrinkToFit="1"/>
    </xf>
    <xf numFmtId="0" fontId="154" fillId="26" borderId="0" xfId="0" applyFont="1" applyFill="1" applyBorder="1" applyAlignment="1" applyProtection="1">
      <alignment horizontal="center" wrapText="1"/>
    </xf>
    <xf numFmtId="0" fontId="182" fillId="32" borderId="0" xfId="0" applyNumberFormat="1" applyFont="1" applyFill="1" applyBorder="1" applyAlignment="1" applyProtection="1">
      <alignment horizontal="left" vertical="center" shrinkToFit="1"/>
    </xf>
    <xf numFmtId="10" fontId="182" fillId="0" borderId="86" xfId="41" applyNumberFormat="1" applyFont="1" applyBorder="1" applyAlignment="1" applyProtection="1">
      <alignment horizontal="center"/>
    </xf>
    <xf numFmtId="10" fontId="182" fillId="0" borderId="91" xfId="41" applyNumberFormat="1" applyFont="1" applyBorder="1" applyAlignment="1" applyProtection="1">
      <alignment horizontal="center"/>
    </xf>
    <xf numFmtId="181" fontId="182" fillId="0" borderId="15" xfId="0" applyNumberFormat="1" applyFont="1" applyFill="1" applyBorder="1" applyAlignment="1" applyProtection="1">
      <alignment horizontal="center" vertical="center"/>
    </xf>
    <xf numFmtId="181" fontId="182" fillId="0" borderId="12" xfId="0" applyNumberFormat="1" applyFont="1" applyFill="1" applyBorder="1" applyAlignment="1" applyProtection="1">
      <alignment horizontal="center" vertical="center"/>
    </xf>
    <xf numFmtId="10" fontId="182" fillId="0" borderId="68" xfId="41" applyNumberFormat="1" applyFont="1" applyBorder="1" applyAlignment="1" applyProtection="1">
      <alignment horizontal="center"/>
    </xf>
    <xf numFmtId="181" fontId="182" fillId="0" borderId="105" xfId="0" applyNumberFormat="1" applyFont="1" applyFill="1" applyBorder="1" applyAlignment="1" applyProtection="1">
      <alignment horizontal="center" vertical="center"/>
    </xf>
    <xf numFmtId="0" fontId="96" fillId="0" borderId="0" xfId="0" applyFont="1" applyFill="1" applyBorder="1" applyAlignment="1" applyProtection="1">
      <alignment horizontal="center"/>
    </xf>
    <xf numFmtId="181" fontId="182" fillId="32" borderId="67" xfId="0" applyNumberFormat="1" applyFont="1" applyFill="1" applyBorder="1" applyAlignment="1" applyProtection="1">
      <alignment horizontal="center" vertical="center"/>
    </xf>
    <xf numFmtId="181" fontId="182" fillId="32" borderId="92" xfId="0" applyNumberFormat="1" applyFont="1" applyFill="1" applyBorder="1" applyAlignment="1" applyProtection="1">
      <alignment horizontal="center" vertical="center"/>
    </xf>
    <xf numFmtId="181" fontId="182" fillId="32" borderId="15" xfId="0" applyNumberFormat="1" applyFont="1" applyFill="1" applyBorder="1" applyAlignment="1" applyProtection="1">
      <alignment horizontal="center" vertical="center"/>
    </xf>
    <xf numFmtId="181" fontId="182" fillId="32" borderId="105" xfId="0" applyNumberFormat="1" applyFont="1" applyFill="1" applyBorder="1" applyAlignment="1" applyProtection="1">
      <alignment horizontal="center" vertical="center"/>
    </xf>
    <xf numFmtId="181" fontId="182" fillId="32" borderId="12" xfId="0" applyNumberFormat="1" applyFont="1" applyFill="1" applyBorder="1" applyAlignment="1" applyProtection="1">
      <alignment horizontal="center" vertical="center"/>
    </xf>
    <xf numFmtId="181" fontId="182" fillId="32" borderId="45" xfId="0" applyNumberFormat="1" applyFont="1" applyFill="1" applyBorder="1" applyAlignment="1" applyProtection="1">
      <alignment horizontal="center" vertical="center"/>
    </xf>
    <xf numFmtId="181" fontId="182" fillId="32" borderId="46" xfId="0" applyNumberFormat="1" applyFont="1" applyFill="1" applyBorder="1" applyAlignment="1" applyProtection="1">
      <alignment horizontal="center" vertical="center"/>
    </xf>
    <xf numFmtId="181" fontId="182" fillId="32" borderId="77" xfId="0" applyNumberFormat="1" applyFont="1" applyFill="1" applyBorder="1" applyAlignment="1" applyProtection="1">
      <alignment horizontal="center" vertical="center"/>
    </xf>
    <xf numFmtId="1" fontId="88" fillId="26" borderId="53" xfId="0" applyNumberFormat="1" applyFont="1" applyFill="1" applyBorder="1" applyAlignment="1" applyProtection="1">
      <alignment horizontal="center" vertical="center"/>
    </xf>
    <xf numFmtId="0" fontId="88" fillId="26" borderId="59" xfId="0" applyFont="1" applyFill="1" applyBorder="1" applyAlignment="1" applyProtection="1">
      <alignment horizontal="center" vertical="center"/>
    </xf>
    <xf numFmtId="0" fontId="205" fillId="0" borderId="53" xfId="0" applyFont="1" applyBorder="1" applyAlignment="1" applyProtection="1">
      <alignment horizontal="center" vertical="center" wrapText="1"/>
    </xf>
    <xf numFmtId="0" fontId="205" fillId="0" borderId="59" xfId="0" applyFont="1" applyBorder="1" applyAlignment="1" applyProtection="1">
      <alignment horizontal="center" vertical="center" wrapText="1"/>
    </xf>
    <xf numFmtId="0" fontId="182" fillId="32" borderId="15" xfId="0" applyFont="1" applyFill="1" applyBorder="1" applyAlignment="1" applyProtection="1">
      <alignment horizontal="center" vertical="center"/>
    </xf>
    <xf numFmtId="0" fontId="182" fillId="32" borderId="105" xfId="0" applyFont="1" applyFill="1" applyBorder="1" applyAlignment="1" applyProtection="1">
      <alignment horizontal="center" vertical="center"/>
    </xf>
    <xf numFmtId="0" fontId="88" fillId="0" borderId="0" xfId="0" applyFont="1" applyBorder="1" applyAlignment="1" applyProtection="1">
      <alignment horizontal="center"/>
    </xf>
    <xf numFmtId="0" fontId="88" fillId="0" borderId="53" xfId="0" applyFont="1" applyBorder="1" applyAlignment="1" applyProtection="1">
      <alignment horizontal="center" vertical="center" shrinkToFit="1"/>
    </xf>
    <xf numFmtId="0" fontId="88" fillId="0" borderId="59" xfId="0" applyFont="1" applyBorder="1" applyAlignment="1" applyProtection="1">
      <alignment horizontal="center" vertical="center" shrinkToFit="1"/>
    </xf>
    <xf numFmtId="173" fontId="191" fillId="0" borderId="15" xfId="0" applyNumberFormat="1" applyFont="1" applyBorder="1" applyAlignment="1" applyProtection="1">
      <alignment horizontal="center" vertical="center" wrapText="1"/>
    </xf>
    <xf numFmtId="173" fontId="191" fillId="0" borderId="12" xfId="0" applyNumberFormat="1" applyFont="1" applyBorder="1" applyAlignment="1" applyProtection="1">
      <alignment horizontal="center" vertical="center" wrapText="1"/>
    </xf>
    <xf numFmtId="0" fontId="219" fillId="0" borderId="47" xfId="0" applyFont="1" applyBorder="1" applyAlignment="1" applyProtection="1">
      <alignment horizontal="center" wrapText="1"/>
    </xf>
    <xf numFmtId="0" fontId="219" fillId="0" borderId="61" xfId="0" applyFont="1" applyBorder="1" applyAlignment="1" applyProtection="1">
      <alignment horizontal="center" wrapText="1"/>
    </xf>
    <xf numFmtId="0" fontId="205" fillId="0" borderId="35" xfId="0" applyFont="1" applyBorder="1" applyAlignment="1" applyProtection="1">
      <alignment horizontal="center" vertical="center" wrapText="1"/>
    </xf>
    <xf numFmtId="0" fontId="205" fillId="0" borderId="52" xfId="0" applyFont="1" applyBorder="1" applyAlignment="1" applyProtection="1">
      <alignment horizontal="center" vertical="center" wrapText="1"/>
    </xf>
    <xf numFmtId="0" fontId="205" fillId="0" borderId="39" xfId="0" applyFont="1" applyBorder="1" applyAlignment="1" applyProtection="1">
      <alignment horizontal="center" vertical="center" wrapText="1"/>
    </xf>
    <xf numFmtId="0" fontId="205" fillId="0" borderId="41" xfId="0" applyFont="1" applyBorder="1" applyAlignment="1" applyProtection="1">
      <alignment horizontal="center" vertical="center" wrapText="1"/>
    </xf>
    <xf numFmtId="0" fontId="88" fillId="32" borderId="0" xfId="0" applyFont="1" applyFill="1" applyBorder="1" applyAlignment="1" applyProtection="1">
      <alignment horizontal="center" vertical="center"/>
    </xf>
    <xf numFmtId="0" fontId="96" fillId="32" borderId="0" xfId="0" applyFont="1" applyFill="1" applyBorder="1" applyAlignment="1" applyProtection="1">
      <alignment horizontal="center" vertical="center"/>
    </xf>
    <xf numFmtId="14" fontId="96" fillId="32" borderId="0" xfId="0" applyNumberFormat="1" applyFont="1" applyFill="1" applyBorder="1" applyAlignment="1" applyProtection="1">
      <alignment horizontal="center" vertical="center"/>
    </xf>
    <xf numFmtId="0" fontId="202" fillId="32" borderId="0" xfId="0" applyFont="1" applyFill="1" applyBorder="1" applyAlignment="1" applyProtection="1">
      <alignment horizontal="center"/>
    </xf>
    <xf numFmtId="0" fontId="244" fillId="0" borderId="0" xfId="0" applyFont="1" applyFill="1" applyBorder="1" applyAlignment="1" applyProtection="1">
      <alignment horizontal="center" vertical="center" shrinkToFit="1"/>
    </xf>
    <xf numFmtId="0" fontId="244" fillId="0" borderId="67" xfId="0" applyFont="1" applyBorder="1" applyAlignment="1" applyProtection="1">
      <alignment horizontal="center" shrinkToFit="1"/>
    </xf>
    <xf numFmtId="0" fontId="244" fillId="0" borderId="81" xfId="0" applyFont="1" applyBorder="1" applyAlignment="1" applyProtection="1">
      <alignment horizontal="center" shrinkToFit="1"/>
    </xf>
    <xf numFmtId="0" fontId="91" fillId="0" borderId="53" xfId="0" applyFont="1" applyBorder="1" applyAlignment="1" applyProtection="1">
      <alignment horizontal="center" vertical="center" wrapText="1"/>
    </xf>
    <xf numFmtId="0" fontId="91" fillId="0" borderId="84" xfId="0" applyFont="1" applyBorder="1" applyAlignment="1" applyProtection="1">
      <alignment horizontal="center" vertical="center" wrapText="1"/>
    </xf>
    <xf numFmtId="2" fontId="96" fillId="0" borderId="53" xfId="0" applyNumberFormat="1" applyFont="1" applyBorder="1" applyAlignment="1" applyProtection="1">
      <alignment horizontal="center"/>
    </xf>
    <xf numFmtId="0" fontId="96" fillId="0" borderId="59" xfId="0" applyFont="1" applyBorder="1" applyAlignment="1" applyProtection="1">
      <alignment horizontal="center"/>
    </xf>
    <xf numFmtId="0" fontId="96" fillId="0" borderId="53" xfId="0" quotePrefix="1" applyFont="1" applyBorder="1" applyAlignment="1" applyProtection="1">
      <alignment horizontal="center"/>
    </xf>
    <xf numFmtId="0" fontId="96" fillId="0" borderId="54" xfId="0" quotePrefix="1" applyFont="1" applyBorder="1" applyAlignment="1" applyProtection="1">
      <alignment horizontal="center"/>
    </xf>
    <xf numFmtId="0" fontId="96" fillId="0" borderId="59" xfId="0" quotePrefix="1" applyFont="1" applyBorder="1" applyAlignment="1" applyProtection="1">
      <alignment horizontal="center"/>
    </xf>
    <xf numFmtId="0" fontId="96" fillId="0" borderId="78" xfId="0" applyFont="1" applyBorder="1" applyAlignment="1" applyProtection="1">
      <alignment horizontal="center" vertical="center" wrapText="1"/>
    </xf>
    <xf numFmtId="0" fontId="96" fillId="0" borderId="12" xfId="0" applyFont="1" applyBorder="1" applyAlignment="1" applyProtection="1">
      <alignment horizontal="center" vertical="center" wrapText="1"/>
    </xf>
    <xf numFmtId="0" fontId="152" fillId="0" borderId="23" xfId="0" applyFont="1" applyFill="1" applyBorder="1" applyAlignment="1" applyProtection="1">
      <alignment horizontal="center" vertical="center" wrapText="1"/>
    </xf>
    <xf numFmtId="0" fontId="152" fillId="0" borderId="27" xfId="0" applyFont="1" applyFill="1" applyBorder="1" applyAlignment="1" applyProtection="1">
      <alignment horizontal="center" vertical="center" wrapText="1"/>
    </xf>
    <xf numFmtId="0" fontId="152" fillId="0" borderId="30" xfId="0" applyFont="1" applyFill="1" applyBorder="1" applyAlignment="1" applyProtection="1">
      <alignment horizontal="center" vertical="center" wrapText="1"/>
    </xf>
    <xf numFmtId="1" fontId="155" fillId="0" borderId="67" xfId="41" applyNumberFormat="1" applyFont="1" applyFill="1" applyBorder="1" applyAlignment="1" applyProtection="1">
      <alignment horizontal="center" vertical="center" shrinkToFit="1"/>
    </xf>
    <xf numFmtId="1" fontId="155" fillId="0" borderId="92" xfId="41" applyNumberFormat="1" applyFont="1" applyFill="1" applyBorder="1" applyAlignment="1" applyProtection="1">
      <alignment horizontal="center" vertical="center" shrinkToFit="1"/>
    </xf>
    <xf numFmtId="1" fontId="155" fillId="0" borderId="67" xfId="41" applyNumberFormat="1" applyFont="1" applyFill="1" applyBorder="1" applyAlignment="1" applyProtection="1">
      <alignment horizontal="center" vertical="center" wrapText="1"/>
    </xf>
    <xf numFmtId="1" fontId="155" fillId="0" borderId="77" xfId="41" applyNumberFormat="1" applyFont="1" applyFill="1" applyBorder="1" applyAlignment="1" applyProtection="1">
      <alignment horizontal="center" vertical="center" wrapText="1"/>
    </xf>
    <xf numFmtId="0" fontId="96" fillId="0" borderId="0" xfId="0" applyFont="1" applyFill="1" applyBorder="1" applyAlignment="1" applyProtection="1">
      <alignment horizontal="left" vertical="center"/>
    </xf>
    <xf numFmtId="0" fontId="152" fillId="0" borderId="25" xfId="0" applyFont="1" applyFill="1" applyBorder="1" applyAlignment="1" applyProtection="1">
      <alignment horizontal="left" vertical="center" wrapText="1"/>
    </xf>
    <xf numFmtId="0" fontId="152" fillId="0" borderId="49" xfId="0" applyFont="1" applyFill="1" applyBorder="1" applyAlignment="1" applyProtection="1">
      <alignment horizontal="left" vertical="center" wrapText="1"/>
    </xf>
    <xf numFmtId="1" fontId="87" fillId="0" borderId="13" xfId="0" applyNumberFormat="1" applyFont="1" applyFill="1" applyBorder="1" applyAlignment="1" applyProtection="1">
      <alignment horizontal="center" vertical="center"/>
    </xf>
    <xf numFmtId="0" fontId="87" fillId="0" borderId="13" xfId="0" applyFont="1" applyFill="1" applyBorder="1" applyAlignment="1" applyProtection="1">
      <alignment horizontal="center" vertical="center"/>
    </xf>
    <xf numFmtId="0" fontId="87"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xf>
    <xf numFmtId="0" fontId="89" fillId="0" borderId="10" xfId="0" applyFont="1" applyFill="1" applyBorder="1" applyAlignment="1" applyProtection="1">
      <alignment horizontal="center" vertical="center"/>
    </xf>
    <xf numFmtId="0" fontId="89" fillId="0" borderId="12" xfId="0" applyFont="1" applyFill="1" applyBorder="1" applyAlignment="1" applyProtection="1">
      <alignment horizontal="center" vertical="center"/>
    </xf>
    <xf numFmtId="0" fontId="96" fillId="0" borderId="45" xfId="0" applyFont="1" applyFill="1" applyBorder="1" applyAlignment="1" applyProtection="1">
      <alignment horizontal="center"/>
    </xf>
    <xf numFmtId="0" fontId="96" fillId="0" borderId="11" xfId="0" applyFont="1" applyFill="1" applyBorder="1" applyAlignment="1" applyProtection="1">
      <alignment horizontal="center"/>
    </xf>
    <xf numFmtId="0" fontId="96" fillId="0" borderId="15" xfId="0" applyFont="1" applyFill="1" applyBorder="1" applyAlignment="1" applyProtection="1">
      <alignment horizontal="center" vertical="center"/>
    </xf>
    <xf numFmtId="0" fontId="96" fillId="0" borderId="12" xfId="0" applyFont="1" applyFill="1" applyBorder="1" applyAlignment="1" applyProtection="1">
      <alignment horizontal="center" vertical="center"/>
    </xf>
    <xf numFmtId="0" fontId="96" fillId="0" borderId="10" xfId="0" applyFont="1" applyFill="1" applyBorder="1" applyAlignment="1" applyProtection="1">
      <alignment horizontal="center" vertical="center"/>
    </xf>
    <xf numFmtId="0" fontId="96" fillId="0" borderId="15" xfId="0" applyFont="1" applyFill="1" applyBorder="1" applyAlignment="1" applyProtection="1">
      <alignment horizontal="center"/>
    </xf>
    <xf numFmtId="0" fontId="96" fillId="0" borderId="10" xfId="0" applyFont="1" applyFill="1" applyBorder="1" applyAlignment="1" applyProtection="1">
      <alignment horizontal="center"/>
    </xf>
    <xf numFmtId="0" fontId="333" fillId="0" borderId="0" xfId="101" applyFont="1" applyBorder="1" applyAlignment="1" applyProtection="1">
      <alignment horizontal="right" vertical="center"/>
    </xf>
    <xf numFmtId="0" fontId="15" fillId="32" borderId="0" xfId="101" applyFont="1" applyFill="1" applyBorder="1" applyAlignment="1" applyProtection="1">
      <alignment horizontal="right" vertical="center"/>
    </xf>
    <xf numFmtId="0" fontId="80" fillId="0" borderId="115" xfId="101" applyFont="1" applyBorder="1" applyAlignment="1" applyProtection="1">
      <alignment horizontal="center" vertical="center"/>
    </xf>
    <xf numFmtId="0" fontId="80" fillId="0" borderId="38" xfId="101" applyFont="1" applyBorder="1" applyAlignment="1" applyProtection="1">
      <alignment horizontal="center" vertical="center"/>
    </xf>
    <xf numFmtId="0" fontId="15" fillId="32" borderId="44" xfId="101" applyFont="1" applyFill="1" applyBorder="1" applyAlignment="1" applyProtection="1">
      <alignment horizontal="right" vertical="center"/>
    </xf>
    <xf numFmtId="0" fontId="22" fillId="0" borderId="54" xfId="101" applyFont="1" applyBorder="1" applyAlignment="1" applyProtection="1">
      <alignment horizontal="center" vertical="center" wrapText="1"/>
    </xf>
    <xf numFmtId="0" fontId="22" fillId="0" borderId="59" xfId="101" applyFont="1" applyBorder="1" applyAlignment="1" applyProtection="1">
      <alignment horizontal="center" vertical="center" wrapText="1"/>
    </xf>
    <xf numFmtId="0" fontId="24" fillId="0" borderId="35" xfId="101" applyFont="1" applyBorder="1" applyAlignment="1" applyProtection="1">
      <alignment horizontal="center" vertical="center"/>
    </xf>
    <xf numFmtId="0" fontId="24" fillId="0" borderId="36" xfId="101" applyFont="1" applyBorder="1" applyAlignment="1" applyProtection="1">
      <alignment horizontal="center" vertical="center"/>
    </xf>
    <xf numFmtId="0" fontId="24" fillId="0" borderId="52" xfId="101" applyFont="1" applyBorder="1" applyAlignment="1" applyProtection="1">
      <alignment horizontal="center" vertical="center"/>
    </xf>
    <xf numFmtId="0" fontId="24" fillId="0" borderId="37" xfId="101" applyFont="1" applyBorder="1" applyAlignment="1" applyProtection="1">
      <alignment horizontal="center" vertical="center"/>
    </xf>
    <xf numFmtId="0" fontId="24" fillId="0" borderId="0" xfId="101" applyFont="1" applyBorder="1" applyAlignment="1" applyProtection="1">
      <alignment horizontal="center" vertical="center"/>
    </xf>
    <xf numFmtId="0" fontId="24" fillId="0" borderId="38" xfId="101" applyFont="1" applyBorder="1" applyAlignment="1" applyProtection="1">
      <alignment horizontal="center" vertical="center"/>
    </xf>
    <xf numFmtId="0" fontId="24" fillId="0" borderId="39" xfId="101" applyFont="1" applyBorder="1" applyAlignment="1" applyProtection="1">
      <alignment horizontal="center" vertical="center"/>
    </xf>
    <xf numFmtId="0" fontId="24" fillId="0" borderId="40" xfId="101" applyFont="1" applyBorder="1" applyAlignment="1" applyProtection="1">
      <alignment horizontal="center" vertical="center"/>
    </xf>
    <xf numFmtId="0" fontId="24" fillId="0" borderId="41" xfId="101" applyFont="1" applyBorder="1" applyAlignment="1" applyProtection="1">
      <alignment horizontal="center" vertical="center"/>
    </xf>
    <xf numFmtId="0" fontId="87" fillId="0" borderId="67" xfId="101" applyFont="1" applyBorder="1" applyAlignment="1" applyProtection="1">
      <alignment vertical="center"/>
    </xf>
    <xf numFmtId="0" fontId="87" fillId="0" borderId="77" xfId="101" applyFont="1" applyBorder="1" applyAlignment="1" applyProtection="1">
      <alignment vertical="center"/>
    </xf>
    <xf numFmtId="173" fontId="20" fillId="32" borderId="67" xfId="101" applyNumberFormat="1" applyFont="1" applyFill="1" applyBorder="1" applyAlignment="1" applyProtection="1">
      <alignment horizontal="center" vertical="center"/>
      <protection locked="0"/>
    </xf>
    <xf numFmtId="173" fontId="20" fillId="32" borderId="92" xfId="101" applyNumberFormat="1" applyFont="1" applyFill="1" applyBorder="1" applyAlignment="1" applyProtection="1">
      <alignment horizontal="center" vertical="center"/>
      <protection locked="0"/>
    </xf>
    <xf numFmtId="0" fontId="26" fillId="32" borderId="45" xfId="101" applyFont="1" applyFill="1" applyBorder="1" applyAlignment="1" applyProtection="1">
      <alignment vertical="center" shrinkToFit="1"/>
      <protection locked="0"/>
    </xf>
    <xf numFmtId="0" fontId="26" fillId="32" borderId="11" xfId="101" applyFont="1" applyFill="1" applyBorder="1" applyAlignment="1" applyProtection="1">
      <alignment vertical="center" shrinkToFit="1"/>
      <protection locked="0"/>
    </xf>
    <xf numFmtId="0" fontId="26" fillId="32" borderId="61" xfId="101" applyFont="1" applyFill="1" applyBorder="1" applyAlignment="1" applyProtection="1">
      <alignment vertical="center" shrinkToFit="1"/>
      <protection locked="0"/>
    </xf>
    <xf numFmtId="224" fontId="96" fillId="26" borderId="0" xfId="55" applyNumberFormat="1" applyFont="1" applyFill="1" applyBorder="1" applyAlignment="1">
      <alignment horizontal="center" vertical="center"/>
    </xf>
    <xf numFmtId="221" fontId="244" fillId="26" borderId="37" xfId="0" applyNumberFormat="1" applyFont="1" applyFill="1" applyBorder="1" applyAlignment="1">
      <alignment horizontal="center"/>
    </xf>
    <xf numFmtId="221" fontId="244" fillId="26" borderId="0" xfId="0" applyNumberFormat="1" applyFont="1" applyFill="1" applyBorder="1" applyAlignment="1">
      <alignment horizontal="center"/>
    </xf>
    <xf numFmtId="221" fontId="244" fillId="26" borderId="38" xfId="0" applyNumberFormat="1" applyFont="1" applyFill="1" applyBorder="1" applyAlignment="1">
      <alignment horizontal="center"/>
    </xf>
    <xf numFmtId="0" fontId="253" fillId="38" borderId="53" xfId="0" applyFont="1" applyFill="1" applyBorder="1" applyAlignment="1" applyProtection="1">
      <alignment horizontal="center" vertical="center"/>
      <protection locked="0"/>
    </xf>
    <xf numFmtId="0" fontId="253" fillId="38" borderId="54" xfId="0" applyFont="1" applyFill="1" applyBorder="1" applyAlignment="1" applyProtection="1">
      <alignment horizontal="center" vertical="center"/>
      <protection locked="0"/>
    </xf>
    <xf numFmtId="0" fontId="253" fillId="38" borderId="59" xfId="0" applyFont="1" applyFill="1" applyBorder="1" applyAlignment="1" applyProtection="1">
      <alignment horizontal="center" vertical="center"/>
      <protection locked="0"/>
    </xf>
    <xf numFmtId="0" fontId="348" fillId="0" borderId="40" xfId="0" applyFont="1" applyFill="1" applyBorder="1" applyAlignment="1" applyProtection="1">
      <alignment horizontal="center" vertical="center"/>
    </xf>
    <xf numFmtId="0" fontId="348" fillId="0" borderId="41" xfId="0" applyFont="1" applyFill="1" applyBorder="1" applyAlignment="1" applyProtection="1">
      <alignment horizontal="center" vertical="center"/>
    </xf>
    <xf numFmtId="0" fontId="153" fillId="26" borderId="37" xfId="0" applyFont="1" applyFill="1" applyBorder="1" applyAlignment="1" applyProtection="1">
      <alignment horizontal="right" vertical="center"/>
      <protection locked="0"/>
    </xf>
    <xf numFmtId="0" fontId="153" fillId="26" borderId="44" xfId="0" applyFont="1" applyFill="1" applyBorder="1" applyAlignment="1" applyProtection="1">
      <alignment horizontal="right" vertical="center"/>
      <protection locked="0"/>
    </xf>
    <xf numFmtId="0" fontId="153" fillId="31" borderId="63" xfId="0" applyFont="1" applyFill="1" applyBorder="1" applyAlignment="1" applyProtection="1">
      <alignment horizontal="center" vertical="center" wrapText="1"/>
    </xf>
    <xf numFmtId="0" fontId="153" fillId="31" borderId="64" xfId="0" applyFont="1" applyFill="1" applyBorder="1" applyAlignment="1" applyProtection="1">
      <alignment horizontal="center" vertical="center" wrapText="1"/>
    </xf>
    <xf numFmtId="0" fontId="125" fillId="31" borderId="35" xfId="0" applyFont="1" applyFill="1" applyBorder="1" applyAlignment="1">
      <alignment horizontal="center" vertical="center" wrapText="1"/>
    </xf>
    <xf numFmtId="0" fontId="125" fillId="31" borderId="36" xfId="0" applyFont="1" applyFill="1" applyBorder="1" applyAlignment="1">
      <alignment horizontal="center" vertical="center" wrapText="1"/>
    </xf>
    <xf numFmtId="0" fontId="125" fillId="31" borderId="52" xfId="0" applyFont="1" applyFill="1" applyBorder="1" applyAlignment="1">
      <alignment horizontal="center" vertical="center" wrapText="1"/>
    </xf>
    <xf numFmtId="0" fontId="125" fillId="31" borderId="39" xfId="0" applyFont="1" applyFill="1" applyBorder="1" applyAlignment="1">
      <alignment horizontal="center" vertical="center" wrapText="1"/>
    </xf>
    <xf numFmtId="0" fontId="125" fillId="31" borderId="40" xfId="0" applyFont="1" applyFill="1" applyBorder="1" applyAlignment="1">
      <alignment horizontal="center" vertical="center" wrapText="1"/>
    </xf>
    <xf numFmtId="0" fontId="125" fillId="31" borderId="41" xfId="0" applyFont="1" applyFill="1" applyBorder="1" applyAlignment="1">
      <alignment horizontal="center" vertical="center" wrapText="1"/>
    </xf>
    <xf numFmtId="4" fontId="152" fillId="0" borderId="34" xfId="0" applyNumberFormat="1" applyFont="1" applyFill="1" applyBorder="1" applyAlignment="1" applyProtection="1">
      <alignment horizontal="center" vertical="center"/>
    </xf>
    <xf numFmtId="4" fontId="152" fillId="0" borderId="22" xfId="0" applyNumberFormat="1" applyFont="1" applyFill="1" applyBorder="1" applyAlignment="1" applyProtection="1">
      <alignment horizontal="center" vertical="center"/>
    </xf>
    <xf numFmtId="4" fontId="152" fillId="0" borderId="14" xfId="0" applyNumberFormat="1" applyFont="1" applyFill="1" applyBorder="1" applyAlignment="1" applyProtection="1">
      <alignment horizontal="center" vertical="center"/>
    </xf>
    <xf numFmtId="4" fontId="152" fillId="0" borderId="58" xfId="0" applyNumberFormat="1" applyFont="1" applyFill="1" applyBorder="1" applyAlignment="1" applyProtection="1">
      <alignment horizontal="center" vertical="center"/>
    </xf>
    <xf numFmtId="4" fontId="152" fillId="0" borderId="60" xfId="0" applyNumberFormat="1" applyFont="1" applyFill="1" applyBorder="1" applyAlignment="1" applyProtection="1">
      <alignment horizontal="center" vertical="center"/>
    </xf>
    <xf numFmtId="0" fontId="153" fillId="26" borderId="0" xfId="0" applyFont="1" applyFill="1" applyBorder="1" applyAlignment="1" applyProtection="1">
      <alignment horizontal="center" vertical="center"/>
    </xf>
    <xf numFmtId="0" fontId="153" fillId="26" borderId="44" xfId="0" applyFont="1" applyFill="1" applyBorder="1" applyAlignment="1" applyProtection="1">
      <alignment horizontal="center" vertical="center"/>
    </xf>
    <xf numFmtId="0" fontId="153" fillId="26" borderId="40" xfId="0" applyFont="1" applyFill="1" applyBorder="1" applyAlignment="1" applyProtection="1">
      <alignment horizontal="center" vertical="center"/>
    </xf>
    <xf numFmtId="0" fontId="153" fillId="26" borderId="117" xfId="0" applyFont="1" applyFill="1" applyBorder="1" applyAlignment="1" applyProtection="1">
      <alignment horizontal="center" vertical="center"/>
    </xf>
    <xf numFmtId="0" fontId="190" fillId="29" borderId="35" xfId="0" applyFont="1" applyFill="1" applyBorder="1" applyAlignment="1" applyProtection="1">
      <alignment horizontal="center" vertical="center"/>
    </xf>
    <xf numFmtId="0" fontId="190" fillId="29" borderId="87" xfId="0" applyFont="1" applyFill="1" applyBorder="1" applyAlignment="1" applyProtection="1">
      <alignment horizontal="center" vertical="center"/>
    </xf>
    <xf numFmtId="0" fontId="190" fillId="29" borderId="39" xfId="0" applyFont="1" applyFill="1" applyBorder="1" applyAlignment="1" applyProtection="1">
      <alignment horizontal="center" vertical="center"/>
    </xf>
    <xf numFmtId="0" fontId="190" fillId="29" borderId="117" xfId="0" applyFont="1" applyFill="1" applyBorder="1" applyAlignment="1" applyProtection="1">
      <alignment horizontal="center" vertical="center"/>
    </xf>
    <xf numFmtId="204" fontId="192" fillId="26" borderId="39" xfId="41" applyNumberFormat="1" applyFont="1" applyFill="1" applyBorder="1" applyAlignment="1" applyProtection="1">
      <alignment horizontal="center" vertical="center"/>
    </xf>
    <xf numFmtId="204" fontId="192" fillId="26" borderId="117" xfId="41" applyNumberFormat="1" applyFont="1" applyFill="1" applyBorder="1" applyAlignment="1" applyProtection="1">
      <alignment horizontal="center" vertical="center"/>
    </xf>
    <xf numFmtId="0" fontId="150" fillId="26" borderId="43" xfId="0" applyFont="1" applyFill="1" applyBorder="1" applyAlignment="1" applyProtection="1">
      <alignment horizontal="left" vertical="center" shrinkToFit="1"/>
    </xf>
    <xf numFmtId="0" fontId="150" fillId="26" borderId="104" xfId="0" applyFont="1" applyFill="1" applyBorder="1" applyAlignment="1" applyProtection="1">
      <alignment horizontal="left" vertical="center" shrinkToFit="1"/>
    </xf>
    <xf numFmtId="0" fontId="154" fillId="35" borderId="53" xfId="0" applyFont="1" applyFill="1" applyBorder="1" applyAlignment="1" applyProtection="1">
      <alignment horizontal="center" vertical="center" shrinkToFit="1"/>
      <protection locked="0"/>
    </xf>
    <xf numFmtId="0" fontId="154" fillId="35" borderId="59" xfId="0" applyFont="1" applyFill="1" applyBorder="1" applyAlignment="1" applyProtection="1">
      <alignment horizontal="center" vertical="center" shrinkToFit="1"/>
      <protection locked="0"/>
    </xf>
    <xf numFmtId="173" fontId="159" fillId="0" borderId="53" xfId="0" applyNumberFormat="1" applyFont="1" applyFill="1" applyBorder="1" applyAlignment="1" applyProtection="1">
      <alignment horizontal="center" vertical="center"/>
    </xf>
    <xf numFmtId="173" fontId="159" fillId="0" borderId="59" xfId="0" applyNumberFormat="1" applyFont="1" applyFill="1" applyBorder="1" applyAlignment="1" applyProtection="1">
      <alignment horizontal="center" vertical="center"/>
    </xf>
    <xf numFmtId="0" fontId="136" fillId="26" borderId="54" xfId="0" applyFont="1" applyFill="1" applyBorder="1" applyAlignment="1" applyProtection="1">
      <alignment horizontal="center" vertical="center"/>
    </xf>
    <xf numFmtId="0" fontId="162" fillId="32" borderId="0" xfId="0" applyFont="1" applyFill="1" applyBorder="1" applyAlignment="1" applyProtection="1">
      <alignment horizontal="center" vertical="center"/>
    </xf>
    <xf numFmtId="0" fontId="162" fillId="32" borderId="44" xfId="0" applyFont="1" applyFill="1" applyBorder="1" applyAlignment="1" applyProtection="1">
      <alignment horizontal="center" vertical="center"/>
    </xf>
    <xf numFmtId="0" fontId="155" fillId="32" borderId="16" xfId="0" applyFont="1" applyFill="1" applyBorder="1" applyAlignment="1" applyProtection="1">
      <alignment horizontal="center" vertical="center"/>
    </xf>
    <xf numFmtId="0" fontId="324" fillId="32" borderId="0" xfId="0" applyFont="1" applyFill="1" applyBorder="1" applyAlignment="1">
      <alignment horizontal="center"/>
    </xf>
    <xf numFmtId="175" fontId="324" fillId="32" borderId="0" xfId="0" applyNumberFormat="1" applyFont="1" applyFill="1" applyBorder="1" applyAlignment="1">
      <alignment horizontal="center" vertical="center" wrapText="1"/>
    </xf>
    <xf numFmtId="0" fontId="324" fillId="32" borderId="0" xfId="0" applyFont="1" applyFill="1" applyBorder="1" applyAlignment="1">
      <alignment horizontal="center" vertical="center"/>
    </xf>
    <xf numFmtId="10" fontId="125" fillId="31" borderId="35" xfId="0" applyNumberFormat="1" applyFont="1" applyFill="1" applyBorder="1" applyAlignment="1">
      <alignment horizontal="center" vertical="center" wrapText="1"/>
    </xf>
    <xf numFmtId="10" fontId="125" fillId="31" borderId="52" xfId="0" applyNumberFormat="1" applyFont="1" applyFill="1" applyBorder="1" applyAlignment="1">
      <alignment horizontal="center" vertical="center" wrapText="1"/>
    </xf>
    <xf numFmtId="10" fontId="125" fillId="31" borderId="39" xfId="0" applyNumberFormat="1" applyFont="1" applyFill="1" applyBorder="1" applyAlignment="1">
      <alignment horizontal="center" vertical="center" wrapText="1"/>
    </xf>
    <xf numFmtId="10" fontId="125" fillId="31" borderId="41" xfId="0" applyNumberFormat="1" applyFont="1" applyFill="1" applyBorder="1" applyAlignment="1">
      <alignment horizontal="center" vertical="center" wrapText="1"/>
    </xf>
    <xf numFmtId="0" fontId="125" fillId="26" borderId="37" xfId="0" applyFont="1" applyFill="1" applyBorder="1" applyAlignment="1">
      <alignment horizontal="right" vertical="center" shrinkToFit="1"/>
    </xf>
    <xf numFmtId="0" fontId="125" fillId="26" borderId="44" xfId="0" applyFont="1" applyFill="1" applyBorder="1" applyAlignment="1">
      <alignment horizontal="right" vertical="center" shrinkToFit="1"/>
    </xf>
    <xf numFmtId="2" fontId="152" fillId="0" borderId="34" xfId="0" applyNumberFormat="1" applyFont="1" applyFill="1" applyBorder="1" applyAlignment="1" applyProtection="1">
      <alignment horizontal="center" vertical="center" wrapText="1"/>
    </xf>
    <xf numFmtId="2" fontId="152" fillId="0" borderId="65" xfId="0" applyNumberFormat="1" applyFont="1" applyFill="1" applyBorder="1" applyAlignment="1" applyProtection="1">
      <alignment horizontal="center" vertical="center" wrapText="1"/>
    </xf>
    <xf numFmtId="3" fontId="153" fillId="26" borderId="93" xfId="41" applyNumberFormat="1" applyFont="1" applyFill="1" applyBorder="1" applyAlignment="1" applyProtection="1">
      <alignment horizontal="center" vertical="center" wrapText="1"/>
    </xf>
    <xf numFmtId="3" fontId="153" fillId="26" borderId="60" xfId="41" applyNumberFormat="1" applyFont="1" applyFill="1" applyBorder="1" applyAlignment="1" applyProtection="1">
      <alignment horizontal="center" vertical="center" wrapText="1"/>
    </xf>
    <xf numFmtId="2" fontId="152" fillId="26" borderId="93" xfId="0" applyNumberFormat="1" applyFont="1" applyFill="1" applyBorder="1" applyAlignment="1" applyProtection="1">
      <alignment horizontal="center" vertical="center" textRotation="180"/>
    </xf>
    <xf numFmtId="2" fontId="152" fillId="26" borderId="85" xfId="0" applyNumberFormat="1" applyFont="1" applyFill="1" applyBorder="1" applyAlignment="1" applyProtection="1">
      <alignment horizontal="center" vertical="center" textRotation="180"/>
    </xf>
    <xf numFmtId="2" fontId="152" fillId="26" borderId="83" xfId="0" applyNumberFormat="1" applyFont="1" applyFill="1" applyBorder="1" applyAlignment="1" applyProtection="1">
      <alignment horizontal="center" vertical="center" textRotation="180"/>
    </xf>
    <xf numFmtId="170" fontId="153" fillId="26" borderId="23" xfId="41" applyNumberFormat="1" applyFont="1" applyFill="1" applyBorder="1" applyAlignment="1" applyProtection="1">
      <alignment horizontal="center" vertical="center" wrapText="1"/>
    </xf>
    <xf numFmtId="170" fontId="153" fillId="26" borderId="42" xfId="41" applyNumberFormat="1" applyFont="1" applyFill="1" applyBorder="1" applyAlignment="1" applyProtection="1">
      <alignment horizontal="center" vertical="center" wrapText="1"/>
    </xf>
    <xf numFmtId="0" fontId="153" fillId="26" borderId="93" xfId="0" applyFont="1" applyFill="1" applyBorder="1" applyAlignment="1" applyProtection="1">
      <alignment horizontal="center" vertical="center" wrapText="1"/>
    </xf>
    <xf numFmtId="0" fontId="153" fillId="26" borderId="60" xfId="0" applyFont="1" applyFill="1" applyBorder="1" applyAlignment="1" applyProtection="1">
      <alignment horizontal="center" vertical="center" wrapText="1"/>
    </xf>
    <xf numFmtId="0" fontId="153" fillId="26" borderId="23" xfId="0" applyFont="1" applyFill="1" applyBorder="1" applyAlignment="1" applyProtection="1">
      <alignment horizontal="center" vertical="center" wrapText="1"/>
    </xf>
    <xf numFmtId="0" fontId="153" fillId="26" borderId="42" xfId="0" applyFont="1" applyFill="1" applyBorder="1" applyAlignment="1" applyProtection="1">
      <alignment horizontal="center" vertical="center" wrapText="1"/>
    </xf>
    <xf numFmtId="2" fontId="96" fillId="0" borderId="34" xfId="0" applyNumberFormat="1" applyFont="1" applyFill="1" applyBorder="1" applyAlignment="1" applyProtection="1">
      <alignment horizontal="center" vertical="center"/>
    </xf>
    <xf numFmtId="2" fontId="96" fillId="0" borderId="22" xfId="0" applyNumberFormat="1" applyFont="1" applyFill="1" applyBorder="1" applyAlignment="1" applyProtection="1">
      <alignment horizontal="center" vertical="center"/>
    </xf>
    <xf numFmtId="2" fontId="96" fillId="0" borderId="14" xfId="0" applyNumberFormat="1" applyFont="1" applyFill="1" applyBorder="1" applyAlignment="1" applyProtection="1">
      <alignment horizontal="center" vertical="center"/>
    </xf>
    <xf numFmtId="4" fontId="96" fillId="0" borderId="58" xfId="0" applyNumberFormat="1" applyFont="1" applyFill="1" applyBorder="1" applyAlignment="1" applyProtection="1">
      <alignment horizontal="center" vertical="center"/>
    </xf>
    <xf numFmtId="4" fontId="96" fillId="0" borderId="85" xfId="0" applyNumberFormat="1" applyFont="1" applyFill="1" applyBorder="1" applyAlignment="1" applyProtection="1">
      <alignment horizontal="center" vertical="center"/>
    </xf>
    <xf numFmtId="4" fontId="96" fillId="0" borderId="60" xfId="0" applyNumberFormat="1" applyFont="1" applyFill="1" applyBorder="1" applyAlignment="1" applyProtection="1">
      <alignment horizontal="center" vertical="center"/>
    </xf>
    <xf numFmtId="0" fontId="153" fillId="26" borderId="37" xfId="0" applyFont="1" applyFill="1" applyBorder="1" applyAlignment="1" applyProtection="1">
      <alignment horizontal="right" vertical="center" shrinkToFit="1"/>
      <protection locked="0"/>
    </xf>
    <xf numFmtId="0" fontId="153" fillId="26" borderId="44" xfId="0" applyFont="1" applyFill="1" applyBorder="1" applyAlignment="1" applyProtection="1">
      <alignment horizontal="right" vertical="center" shrinkToFit="1"/>
      <protection locked="0"/>
    </xf>
    <xf numFmtId="0" fontId="153" fillId="26" borderId="47" xfId="0" applyFont="1" applyFill="1" applyBorder="1" applyAlignment="1" applyProtection="1">
      <alignment horizontal="right" vertical="center" shrinkToFit="1"/>
      <protection locked="0"/>
    </xf>
    <xf numFmtId="0" fontId="153" fillId="26" borderId="46" xfId="0" applyFont="1" applyFill="1" applyBorder="1" applyAlignment="1" applyProtection="1">
      <alignment horizontal="right" vertical="center" shrinkToFit="1"/>
      <protection locked="0"/>
    </xf>
    <xf numFmtId="202" fontId="162" fillId="0" borderId="37" xfId="41" applyNumberFormat="1" applyFont="1" applyFill="1" applyBorder="1" applyAlignment="1" applyProtection="1">
      <alignment horizontal="center" vertical="center"/>
    </xf>
    <xf numFmtId="202" fontId="162" fillId="0" borderId="38" xfId="41" applyNumberFormat="1" applyFont="1" applyFill="1" applyBorder="1" applyAlignment="1" applyProtection="1">
      <alignment horizontal="center" vertical="center"/>
    </xf>
    <xf numFmtId="0" fontId="181" fillId="0" borderId="106" xfId="0" applyFont="1" applyFill="1" applyBorder="1" applyAlignment="1" applyProtection="1">
      <alignment horizontal="center" vertical="center"/>
    </xf>
    <xf numFmtId="0" fontId="181" fillId="0" borderId="54" xfId="0" applyFont="1" applyFill="1" applyBorder="1" applyAlignment="1" applyProtection="1">
      <alignment horizontal="center" vertical="center"/>
    </xf>
    <xf numFmtId="0" fontId="181" fillId="0" borderId="59" xfId="0" applyFont="1" applyFill="1" applyBorder="1" applyAlignment="1" applyProtection="1">
      <alignment horizontal="center" vertical="center"/>
    </xf>
    <xf numFmtId="0" fontId="154" fillId="0" borderId="106" xfId="0" applyFont="1" applyFill="1" applyBorder="1" applyAlignment="1" applyProtection="1">
      <alignment horizontal="center" vertical="center"/>
    </xf>
    <xf numFmtId="0" fontId="154" fillId="0" borderId="54" xfId="0" applyFont="1" applyFill="1" applyBorder="1" applyAlignment="1" applyProtection="1">
      <alignment horizontal="center" vertical="center"/>
    </xf>
    <xf numFmtId="0" fontId="154" fillId="0" borderId="84" xfId="0" applyFont="1" applyFill="1" applyBorder="1" applyAlignment="1" applyProtection="1">
      <alignment horizontal="center" vertical="center"/>
    </xf>
    <xf numFmtId="217" fontId="179" fillId="32" borderId="0" xfId="0" applyNumberFormat="1" applyFont="1" applyFill="1" applyBorder="1" applyAlignment="1" applyProtection="1">
      <alignment horizontal="center" vertical="center"/>
    </xf>
    <xf numFmtId="0" fontId="90" fillId="26" borderId="67" xfId="0" applyFont="1" applyFill="1" applyBorder="1" applyAlignment="1" applyProtection="1">
      <alignment vertical="center" shrinkToFit="1"/>
    </xf>
    <xf numFmtId="0" fontId="90" fillId="26" borderId="77" xfId="0" applyFont="1" applyFill="1" applyBorder="1" applyAlignment="1" applyProtection="1">
      <alignment vertical="center" shrinkToFit="1"/>
    </xf>
    <xf numFmtId="0" fontId="153" fillId="26" borderId="39" xfId="0" applyFont="1" applyFill="1" applyBorder="1" applyAlignment="1" applyProtection="1">
      <alignment horizontal="right" shrinkToFit="1"/>
      <protection locked="0"/>
    </xf>
    <xf numFmtId="0" fontId="153" fillId="26" borderId="117" xfId="0" applyFont="1" applyFill="1" applyBorder="1" applyAlignment="1" applyProtection="1">
      <alignment horizontal="right" shrinkToFit="1"/>
      <protection locked="0"/>
    </xf>
    <xf numFmtId="10" fontId="125" fillId="26" borderId="0" xfId="0" applyNumberFormat="1" applyFont="1" applyFill="1" applyBorder="1" applyAlignment="1">
      <alignment horizontal="center" vertical="center" wrapText="1"/>
    </xf>
    <xf numFmtId="0" fontId="125" fillId="26" borderId="0" xfId="0" applyFont="1" applyFill="1" applyBorder="1" applyAlignment="1">
      <alignment horizontal="center" shrinkToFit="1"/>
    </xf>
    <xf numFmtId="0" fontId="153" fillId="26" borderId="0" xfId="0" applyFont="1" applyFill="1" applyBorder="1" applyAlignment="1" applyProtection="1">
      <alignment horizontal="center" vertical="center" shrinkToFit="1"/>
      <protection locked="0"/>
    </xf>
    <xf numFmtId="0" fontId="125" fillId="26" borderId="0" xfId="0" applyFont="1" applyFill="1" applyBorder="1" applyAlignment="1">
      <alignment horizontal="center" vertical="center"/>
    </xf>
    <xf numFmtId="4" fontId="181" fillId="26" borderId="53" xfId="0" applyNumberFormat="1" applyFont="1" applyFill="1" applyBorder="1" applyAlignment="1" applyProtection="1">
      <alignment horizontal="center" vertical="center"/>
    </xf>
    <xf numFmtId="4" fontId="181" fillId="26" borderId="59" xfId="0" applyNumberFormat="1" applyFont="1" applyFill="1" applyBorder="1" applyAlignment="1" applyProtection="1">
      <alignment horizontal="center" vertical="center"/>
    </xf>
    <xf numFmtId="205" fontId="187" fillId="26" borderId="36" xfId="0" applyNumberFormat="1" applyFont="1" applyFill="1" applyBorder="1" applyAlignment="1" applyProtection="1">
      <alignment horizontal="center" vertical="center"/>
    </xf>
    <xf numFmtId="207" fontId="198" fillId="32" borderId="0" xfId="0" applyNumberFormat="1" applyFont="1" applyFill="1" applyBorder="1" applyAlignment="1" applyProtection="1">
      <alignment horizontal="center" vertical="center" shrinkToFit="1"/>
    </xf>
    <xf numFmtId="207" fontId="198" fillId="32" borderId="44" xfId="0" applyNumberFormat="1" applyFont="1" applyFill="1" applyBorder="1" applyAlignment="1" applyProtection="1">
      <alignment horizontal="center" vertical="center" shrinkToFit="1"/>
    </xf>
    <xf numFmtId="191" fontId="162" fillId="34" borderId="43" xfId="0" applyNumberFormat="1" applyFont="1" applyFill="1" applyBorder="1" applyAlignment="1" applyProtection="1">
      <alignment horizontal="center" vertical="center" wrapText="1"/>
    </xf>
    <xf numFmtId="191" fontId="162" fillId="34" borderId="17" xfId="0" applyNumberFormat="1" applyFont="1" applyFill="1" applyBorder="1" applyAlignment="1" applyProtection="1">
      <alignment horizontal="center" vertical="center" wrapText="1"/>
    </xf>
    <xf numFmtId="191" fontId="162" fillId="34" borderId="45" xfId="0" applyNumberFormat="1" applyFont="1" applyFill="1" applyBorder="1" applyAlignment="1" applyProtection="1">
      <alignment horizontal="center" vertical="center" wrapText="1"/>
    </xf>
    <xf numFmtId="191" fontId="162" fillId="34" borderId="46" xfId="0" applyNumberFormat="1" applyFont="1" applyFill="1" applyBorder="1" applyAlignment="1" applyProtection="1">
      <alignment horizontal="center" vertical="center" wrapText="1"/>
    </xf>
    <xf numFmtId="0" fontId="131" fillId="26" borderId="63" xfId="0" applyNumberFormat="1" applyFont="1" applyFill="1" applyBorder="1" applyAlignment="1" applyProtection="1">
      <alignment horizontal="left" vertical="center" wrapText="1"/>
    </xf>
    <xf numFmtId="0" fontId="131" fillId="26" borderId="64" xfId="0" applyNumberFormat="1" applyFont="1" applyFill="1" applyBorder="1" applyAlignment="1" applyProtection="1">
      <alignment horizontal="left" vertical="center" wrapText="1"/>
    </xf>
    <xf numFmtId="191" fontId="156" fillId="26" borderId="23" xfId="0" applyNumberFormat="1" applyFont="1" applyFill="1" applyBorder="1" applyAlignment="1" applyProtection="1">
      <alignment horizontal="center" vertical="center" wrapText="1"/>
    </xf>
    <xf numFmtId="191" fontId="156" fillId="26" borderId="30" xfId="0" applyNumberFormat="1" applyFont="1" applyFill="1" applyBorder="1" applyAlignment="1" applyProtection="1">
      <alignment horizontal="center" vertical="center" wrapText="1"/>
    </xf>
    <xf numFmtId="206" fontId="163" fillId="26" borderId="0" xfId="0" applyNumberFormat="1" applyFont="1" applyFill="1" applyBorder="1" applyAlignment="1" applyProtection="1">
      <alignment horizontal="left" vertical="center"/>
    </xf>
    <xf numFmtId="208" fontId="163" fillId="26" borderId="0" xfId="0" applyNumberFormat="1" applyFont="1" applyFill="1" applyBorder="1" applyAlignment="1" applyProtection="1">
      <alignment horizontal="left" vertical="center"/>
    </xf>
    <xf numFmtId="0" fontId="152" fillId="26" borderId="0" xfId="0" applyFont="1" applyFill="1" applyBorder="1" applyAlignment="1" applyProtection="1">
      <alignment horizontal="right"/>
      <protection locked="0"/>
    </xf>
    <xf numFmtId="0" fontId="153" fillId="26" borderId="15" xfId="0" applyFont="1" applyFill="1" applyBorder="1" applyAlignment="1" applyProtection="1">
      <alignment horizontal="center" vertical="center"/>
    </xf>
    <xf numFmtId="0" fontId="153" fillId="26" borderId="12" xfId="0" applyFont="1" applyFill="1" applyBorder="1" applyAlignment="1" applyProtection="1">
      <alignment horizontal="center" vertical="center"/>
    </xf>
    <xf numFmtId="237" fontId="192" fillId="26" borderId="15" xfId="55" applyNumberFormat="1" applyFont="1" applyFill="1" applyBorder="1" applyAlignment="1" applyProtection="1">
      <alignment horizontal="center" vertical="center" shrinkToFit="1"/>
    </xf>
    <xf numFmtId="237" fontId="192" fillId="26" borderId="10" xfId="55" applyNumberFormat="1" applyFont="1" applyFill="1" applyBorder="1" applyAlignment="1" applyProtection="1">
      <alignment horizontal="center" vertical="center" shrinkToFit="1"/>
    </xf>
    <xf numFmtId="237" fontId="192" fillId="26" borderId="12" xfId="55" applyNumberFormat="1" applyFont="1" applyFill="1" applyBorder="1" applyAlignment="1" applyProtection="1">
      <alignment horizontal="center" vertical="center" shrinkToFit="1"/>
    </xf>
    <xf numFmtId="0" fontId="205" fillId="33" borderId="69" xfId="58" applyFont="1" applyFill="1" applyBorder="1" applyAlignment="1" applyProtection="1">
      <alignment horizontal="center" vertical="center"/>
    </xf>
    <xf numFmtId="0" fontId="205" fillId="33" borderId="81" xfId="58" applyFont="1" applyFill="1" applyBorder="1" applyAlignment="1" applyProtection="1">
      <alignment horizontal="center" vertical="center"/>
    </xf>
    <xf numFmtId="0" fontId="205" fillId="33" borderId="92" xfId="58" applyFont="1" applyFill="1" applyBorder="1" applyAlignment="1" applyProtection="1">
      <alignment horizontal="center" vertical="center"/>
    </xf>
    <xf numFmtId="0" fontId="219" fillId="42" borderId="146" xfId="58" applyFont="1" applyFill="1" applyBorder="1" applyAlignment="1" applyProtection="1">
      <alignment horizontal="center" vertical="center"/>
    </xf>
    <xf numFmtId="0" fontId="219" fillId="42" borderId="147" xfId="58" applyFont="1" applyFill="1" applyBorder="1" applyAlignment="1" applyProtection="1">
      <alignment horizontal="center" vertical="center"/>
    </xf>
    <xf numFmtId="0" fontId="125" fillId="36" borderId="78" xfId="58" applyFont="1" applyFill="1" applyBorder="1" applyAlignment="1" applyProtection="1">
      <alignment horizontal="center" vertical="center"/>
    </xf>
    <xf numFmtId="0" fontId="125" fillId="36" borderId="10" xfId="58" applyFont="1" applyFill="1" applyBorder="1" applyAlignment="1" applyProtection="1">
      <alignment horizontal="center" vertical="center"/>
    </xf>
    <xf numFmtId="0" fontId="125" fillId="36" borderId="12" xfId="58" applyFont="1" applyFill="1" applyBorder="1" applyAlignment="1" applyProtection="1">
      <alignment horizontal="center" vertical="center"/>
    </xf>
    <xf numFmtId="0" fontId="173" fillId="27" borderId="10" xfId="58" applyFont="1" applyFill="1" applyBorder="1" applyAlignment="1" applyProtection="1">
      <alignment horizontal="center" vertical="center"/>
    </xf>
    <xf numFmtId="0" fontId="96" fillId="36" borderId="49" xfId="58" applyFont="1" applyFill="1" applyBorder="1" applyAlignment="1" applyProtection="1"/>
    <xf numFmtId="0" fontId="96" fillId="36" borderId="13" xfId="58" applyFont="1" applyFill="1" applyBorder="1" applyAlignment="1" applyProtection="1"/>
    <xf numFmtId="242" fontId="96" fillId="36" borderId="49" xfId="32" applyNumberFormat="1" applyFont="1" applyFill="1" applyBorder="1" applyAlignment="1" applyProtection="1"/>
    <xf numFmtId="242" fontId="96" fillId="36" borderId="13" xfId="32" applyNumberFormat="1" applyFont="1" applyFill="1" applyBorder="1" applyAlignment="1" applyProtection="1"/>
    <xf numFmtId="0" fontId="96" fillId="27" borderId="39" xfId="58" applyFont="1" applyFill="1" applyBorder="1" applyAlignment="1" applyProtection="1">
      <alignment horizontal="center"/>
    </xf>
    <xf numFmtId="0" fontId="96" fillId="27" borderId="40" xfId="58" applyFont="1" applyFill="1" applyBorder="1" applyAlignment="1" applyProtection="1">
      <alignment horizontal="center"/>
    </xf>
    <xf numFmtId="207" fontId="204" fillId="36" borderId="15" xfId="0" applyNumberFormat="1" applyFont="1" applyFill="1" applyBorder="1" applyAlignment="1" applyProtection="1">
      <alignment horizontal="center" vertical="center" shrinkToFit="1"/>
    </xf>
    <xf numFmtId="207" fontId="204" fillId="36" borderId="105" xfId="0" applyNumberFormat="1" applyFont="1" applyFill="1" applyBorder="1" applyAlignment="1" applyProtection="1">
      <alignment horizontal="center" vertical="center" shrinkToFit="1"/>
    </xf>
    <xf numFmtId="0" fontId="87" fillId="26" borderId="35" xfId="58" applyFont="1" applyFill="1" applyBorder="1" applyAlignment="1" applyProtection="1">
      <alignment horizontal="center" vertical="center" shrinkToFit="1"/>
    </xf>
    <xf numFmtId="0" fontId="87" fillId="26" borderId="36" xfId="58" applyFont="1" applyFill="1" applyBorder="1" applyAlignment="1" applyProtection="1">
      <alignment horizontal="center" vertical="center" shrinkToFit="1"/>
    </xf>
    <xf numFmtId="0" fontId="87" fillId="26" borderId="52" xfId="58" applyFont="1" applyFill="1" applyBorder="1" applyAlignment="1" applyProtection="1">
      <alignment horizontal="center" vertical="center" shrinkToFit="1"/>
    </xf>
    <xf numFmtId="0" fontId="87" fillId="0" borderId="137" xfId="58" applyFont="1" applyBorder="1" applyAlignment="1" applyProtection="1">
      <alignment horizontal="center" vertical="center"/>
    </xf>
    <xf numFmtId="0" fontId="87" fillId="0" borderId="138" xfId="58" applyFont="1" applyBorder="1" applyAlignment="1" applyProtection="1">
      <alignment horizontal="center" vertical="center"/>
    </xf>
    <xf numFmtId="0" fontId="87" fillId="0" borderId="139" xfId="58" applyFont="1" applyBorder="1" applyAlignment="1" applyProtection="1">
      <alignment horizontal="center" vertical="center"/>
    </xf>
    <xf numFmtId="0" fontId="208" fillId="36" borderId="0" xfId="58" applyFont="1" applyFill="1" applyBorder="1" applyAlignment="1" applyProtection="1">
      <alignment horizontal="left" vertical="center" shrinkToFit="1"/>
    </xf>
    <xf numFmtId="0" fontId="208" fillId="36" borderId="38" xfId="58" applyFont="1" applyFill="1" applyBorder="1" applyAlignment="1" applyProtection="1">
      <alignment horizontal="left" vertical="center" shrinkToFit="1"/>
    </xf>
    <xf numFmtId="0" fontId="125" fillId="27" borderId="78" xfId="58" applyFont="1" applyFill="1" applyBorder="1" applyAlignment="1" applyProtection="1">
      <alignment horizontal="center"/>
    </xf>
    <xf numFmtId="0" fontId="125" fillId="27" borderId="10" xfId="58" applyFont="1" applyFill="1" applyBorder="1" applyAlignment="1" applyProtection="1">
      <alignment horizontal="center"/>
    </xf>
    <xf numFmtId="0" fontId="125" fillId="27" borderId="12" xfId="58" applyFont="1" applyFill="1" applyBorder="1" applyAlignment="1" applyProtection="1">
      <alignment horizontal="center"/>
    </xf>
    <xf numFmtId="0" fontId="219" fillId="42" borderId="146" xfId="58" applyFont="1" applyFill="1" applyBorder="1" applyAlignment="1" applyProtection="1">
      <alignment horizontal="center" vertical="center" shrinkToFit="1"/>
    </xf>
    <xf numFmtId="0" fontId="219" fillId="42" borderId="147" xfId="58" applyFont="1" applyFill="1" applyBorder="1" applyAlignment="1" applyProtection="1">
      <alignment horizontal="center" vertical="center" shrinkToFit="1"/>
    </xf>
    <xf numFmtId="219" fontId="211" fillId="36" borderId="15" xfId="32" applyNumberFormat="1" applyFont="1" applyFill="1" applyBorder="1" applyAlignment="1" applyProtection="1">
      <alignment horizontal="center"/>
    </xf>
    <xf numFmtId="219" fontId="211" fillId="36" borderId="12" xfId="32" applyNumberFormat="1" applyFont="1" applyFill="1" applyBorder="1" applyAlignment="1" applyProtection="1">
      <alignment horizontal="center"/>
    </xf>
    <xf numFmtId="10" fontId="223" fillId="34" borderId="53" xfId="41" applyNumberFormat="1" applyFont="1" applyFill="1" applyBorder="1" applyAlignment="1">
      <alignment horizontal="center"/>
    </xf>
    <xf numFmtId="10" fontId="223" fillId="34" borderId="54" xfId="41" applyNumberFormat="1" applyFont="1" applyFill="1" applyBorder="1" applyAlignment="1">
      <alignment horizontal="center"/>
    </xf>
    <xf numFmtId="10" fontId="223" fillId="34" borderId="59" xfId="41" applyNumberFormat="1" applyFont="1" applyFill="1" applyBorder="1" applyAlignment="1">
      <alignment horizontal="center"/>
    </xf>
    <xf numFmtId="0" fontId="205" fillId="26" borderId="35" xfId="0" applyFont="1" applyFill="1" applyBorder="1" applyAlignment="1">
      <alignment horizontal="center"/>
    </xf>
    <xf numFmtId="0" fontId="205" fillId="26" borderId="36" xfId="0" applyFont="1" applyFill="1" applyBorder="1" applyAlignment="1">
      <alignment horizontal="center"/>
    </xf>
    <xf numFmtId="0" fontId="205" fillId="26" borderId="52" xfId="0" applyFont="1" applyFill="1" applyBorder="1" applyAlignment="1">
      <alignment horizontal="center"/>
    </xf>
    <xf numFmtId="0" fontId="205" fillId="26" borderId="37" xfId="0" applyFont="1" applyFill="1" applyBorder="1" applyAlignment="1">
      <alignment horizontal="center"/>
    </xf>
    <xf numFmtId="0" fontId="205" fillId="26" borderId="0" xfId="0" applyFont="1" applyFill="1" applyBorder="1" applyAlignment="1">
      <alignment horizontal="center"/>
    </xf>
    <xf numFmtId="0" fontId="205" fillId="26" borderId="38" xfId="0" applyFont="1" applyFill="1" applyBorder="1" applyAlignment="1">
      <alignment horizontal="center"/>
    </xf>
    <xf numFmtId="0" fontId="152" fillId="26" borderId="40" xfId="0" applyFont="1" applyFill="1" applyBorder="1" applyAlignment="1">
      <alignment horizontal="center"/>
    </xf>
    <xf numFmtId="0" fontId="222" fillId="29" borderId="53" xfId="0" applyFont="1" applyFill="1" applyBorder="1" applyAlignment="1">
      <alignment horizontal="center"/>
    </xf>
    <xf numFmtId="0" fontId="222" fillId="29" borderId="54" xfId="0" applyFont="1" applyFill="1" applyBorder="1" applyAlignment="1">
      <alignment horizontal="center"/>
    </xf>
    <xf numFmtId="0" fontId="222" fillId="29" borderId="59" xfId="0" applyFont="1" applyFill="1" applyBorder="1" applyAlignment="1">
      <alignment horizontal="center"/>
    </xf>
    <xf numFmtId="0" fontId="123" fillId="26" borderId="37" xfId="0" applyFont="1" applyFill="1" applyBorder="1" applyAlignment="1">
      <alignment shrinkToFit="1"/>
    </xf>
    <xf numFmtId="0" fontId="123" fillId="26" borderId="0" xfId="0" applyFont="1" applyFill="1" applyBorder="1" applyAlignment="1">
      <alignment shrinkToFit="1"/>
    </xf>
    <xf numFmtId="0" fontId="123" fillId="26" borderId="38" xfId="0" applyFont="1" applyFill="1" applyBorder="1" applyAlignment="1">
      <alignment shrinkToFit="1"/>
    </xf>
    <xf numFmtId="0" fontId="224" fillId="32" borderId="53" xfId="0" applyFont="1" applyFill="1" applyBorder="1" applyAlignment="1">
      <alignment horizontal="center" vertical="center"/>
    </xf>
    <xf numFmtId="0" fontId="224" fillId="32" borderId="54" xfId="0" applyFont="1" applyFill="1" applyBorder="1" applyAlignment="1">
      <alignment horizontal="center" vertical="center"/>
    </xf>
    <xf numFmtId="0" fontId="224" fillId="32" borderId="59" xfId="0" applyFont="1" applyFill="1" applyBorder="1" applyAlignment="1">
      <alignment horizontal="center" vertical="center"/>
    </xf>
    <xf numFmtId="186" fontId="182" fillId="32" borderId="0" xfId="0" applyNumberFormat="1" applyFont="1" applyFill="1" applyBorder="1" applyAlignment="1">
      <alignment horizontal="right"/>
    </xf>
    <xf numFmtId="186" fontId="225" fillId="32" borderId="115" xfId="0" applyNumberFormat="1" applyFont="1" applyFill="1" applyBorder="1" applyAlignment="1">
      <alignment horizontal="center" vertical="center"/>
    </xf>
    <xf numFmtId="186" fontId="225" fillId="32" borderId="0" xfId="0" applyNumberFormat="1" applyFont="1" applyFill="1" applyBorder="1" applyAlignment="1">
      <alignment horizontal="center" vertical="center"/>
    </xf>
    <xf numFmtId="186" fontId="225" fillId="32" borderId="38" xfId="0" applyNumberFormat="1" applyFont="1" applyFill="1" applyBorder="1" applyAlignment="1">
      <alignment horizontal="center" vertical="center"/>
    </xf>
    <xf numFmtId="186" fontId="226" fillId="32" borderId="115" xfId="0" applyNumberFormat="1" applyFont="1" applyFill="1" applyBorder="1" applyAlignment="1">
      <alignment horizontal="center" vertical="center"/>
    </xf>
    <xf numFmtId="186" fontId="226" fillId="32" borderId="0" xfId="0" applyNumberFormat="1" applyFont="1" applyFill="1" applyBorder="1" applyAlignment="1">
      <alignment horizontal="center" vertical="center"/>
    </xf>
    <xf numFmtId="186" fontId="226" fillId="32" borderId="38" xfId="0" applyNumberFormat="1" applyFont="1" applyFill="1" applyBorder="1" applyAlignment="1">
      <alignment horizontal="center" vertical="center"/>
    </xf>
    <xf numFmtId="0" fontId="205" fillId="32" borderId="53" xfId="0" applyFont="1" applyFill="1" applyBorder="1" applyAlignment="1">
      <alignment horizontal="center"/>
    </xf>
    <xf numFmtId="0" fontId="205" fillId="32" borderId="54" xfId="0" applyFont="1" applyFill="1" applyBorder="1" applyAlignment="1">
      <alignment horizontal="center"/>
    </xf>
    <xf numFmtId="0" fontId="205" fillId="32" borderId="59" xfId="0" applyFont="1" applyFill="1" applyBorder="1" applyAlignment="1">
      <alignment horizontal="center"/>
    </xf>
    <xf numFmtId="181" fontId="182" fillId="32" borderId="0" xfId="0" applyNumberFormat="1" applyFont="1" applyFill="1" applyBorder="1" applyAlignment="1" applyProtection="1">
      <alignment horizontal="left" vertical="center" shrinkToFit="1"/>
      <protection locked="0"/>
    </xf>
    <xf numFmtId="0" fontId="187" fillId="26" borderId="12" xfId="0" applyFont="1" applyFill="1" applyBorder="1" applyAlignment="1" applyProtection="1">
      <alignment horizontal="left" vertical="center" wrapText="1"/>
    </xf>
    <xf numFmtId="0" fontId="96" fillId="26" borderId="13" xfId="0" applyFont="1" applyFill="1" applyBorder="1" applyAlignment="1">
      <alignment horizontal="left" vertical="center" wrapText="1"/>
    </xf>
    <xf numFmtId="0" fontId="153" fillId="26" borderId="10" xfId="0" applyFont="1" applyFill="1" applyBorder="1" applyAlignment="1" applyProtection="1">
      <alignment vertical="center"/>
    </xf>
    <xf numFmtId="0" fontId="153" fillId="26" borderId="12" xfId="0" applyFont="1" applyFill="1" applyBorder="1" applyAlignment="1" applyProtection="1">
      <alignment vertical="center"/>
    </xf>
    <xf numFmtId="0" fontId="153" fillId="26" borderId="12" xfId="0" applyFont="1" applyFill="1" applyBorder="1" applyAlignment="1" applyProtection="1">
      <alignment horizontal="left" vertical="center" wrapText="1"/>
    </xf>
    <xf numFmtId="0" fontId="153" fillId="26" borderId="13" xfId="0" applyFont="1" applyFill="1" applyBorder="1" applyAlignment="1" applyProtection="1">
      <alignment horizontal="left" vertical="center" wrapText="1"/>
    </xf>
    <xf numFmtId="0" fontId="224" fillId="33" borderId="53" xfId="0" applyFont="1" applyFill="1" applyBorder="1" applyAlignment="1">
      <alignment horizontal="center" vertical="center"/>
    </xf>
    <xf numFmtId="0" fontId="224" fillId="33" borderId="54" xfId="0" applyFont="1" applyFill="1" applyBorder="1" applyAlignment="1">
      <alignment horizontal="center" vertical="center"/>
    </xf>
    <xf numFmtId="0" fontId="224" fillId="33" borderId="59" xfId="0" applyFont="1" applyFill="1" applyBorder="1" applyAlignment="1">
      <alignment horizontal="center" vertical="center"/>
    </xf>
    <xf numFmtId="0" fontId="125" fillId="26" borderId="54" xfId="0" applyFont="1" applyFill="1" applyBorder="1" applyAlignment="1" applyProtection="1">
      <alignment horizontal="right" vertical="center"/>
    </xf>
    <xf numFmtId="0" fontId="125" fillId="26" borderId="59" xfId="0" applyFont="1" applyFill="1" applyBorder="1" applyAlignment="1" applyProtection="1">
      <alignment horizontal="right" vertical="center"/>
    </xf>
    <xf numFmtId="194" fontId="125" fillId="28" borderId="53" xfId="0" applyNumberFormat="1" applyFont="1" applyFill="1" applyBorder="1" applyAlignment="1" applyProtection="1">
      <alignment horizontal="center" vertical="center"/>
    </xf>
    <xf numFmtId="194" fontId="125" fillId="28" borderId="59" xfId="0" applyNumberFormat="1" applyFont="1" applyFill="1" applyBorder="1" applyAlignment="1" applyProtection="1">
      <alignment horizontal="center" vertical="center"/>
    </xf>
    <xf numFmtId="2" fontId="232" fillId="26" borderId="36" xfId="0" applyNumberFormat="1" applyFont="1" applyFill="1" applyBorder="1" applyAlignment="1">
      <alignment horizontal="center"/>
    </xf>
    <xf numFmtId="0" fontId="232" fillId="26" borderId="52" xfId="0" applyFont="1" applyFill="1" applyBorder="1" applyAlignment="1">
      <alignment horizontal="center"/>
    </xf>
    <xf numFmtId="0" fontId="180" fillId="29" borderId="12" xfId="0" applyFont="1" applyFill="1" applyBorder="1" applyAlignment="1" applyProtection="1">
      <alignment horizontal="left" vertical="center" wrapText="1"/>
    </xf>
    <xf numFmtId="0" fontId="180" fillId="29" borderId="13" xfId="0" applyFont="1" applyFill="1" applyBorder="1" applyAlignment="1" applyProtection="1">
      <alignment horizontal="left" vertical="center" wrapText="1"/>
    </xf>
    <xf numFmtId="0" fontId="153" fillId="26" borderId="10" xfId="0" applyFont="1" applyFill="1" applyBorder="1" applyAlignment="1" applyProtection="1">
      <alignment vertical="center" wrapText="1"/>
    </xf>
    <xf numFmtId="0" fontId="153" fillId="26" borderId="12" xfId="0" applyFont="1" applyFill="1" applyBorder="1" applyAlignment="1" applyProtection="1">
      <alignment vertical="center" wrapText="1"/>
    </xf>
    <xf numFmtId="0" fontId="153" fillId="26" borderId="17" xfId="0" applyFont="1" applyFill="1" applyBorder="1" applyAlignment="1" applyProtection="1">
      <alignment horizontal="left" vertical="center" wrapText="1"/>
    </xf>
    <xf numFmtId="0" fontId="153" fillId="26" borderId="34" xfId="0" applyFont="1" applyFill="1" applyBorder="1" applyAlignment="1" applyProtection="1">
      <alignment horizontal="left" vertical="center" wrapText="1"/>
    </xf>
    <xf numFmtId="0" fontId="151" fillId="26" borderId="84" xfId="0" applyFont="1" applyFill="1" applyBorder="1" applyAlignment="1" applyProtection="1">
      <alignment horizontal="left" vertical="center" wrapText="1"/>
    </xf>
    <xf numFmtId="0" fontId="151" fillId="26" borderId="106" xfId="0" applyFont="1" applyFill="1" applyBorder="1" applyAlignment="1" applyProtection="1">
      <alignment horizontal="left" vertical="center" wrapText="1"/>
    </xf>
    <xf numFmtId="0" fontId="152" fillId="26" borderId="72" xfId="0" applyFont="1" applyFill="1" applyBorder="1" applyAlignment="1" applyProtection="1">
      <alignment horizontal="center" vertical="center" wrapText="1"/>
    </xf>
    <xf numFmtId="0" fontId="152" fillId="26" borderId="27" xfId="0" applyFont="1" applyFill="1" applyBorder="1" applyAlignment="1" applyProtection="1">
      <alignment horizontal="center" vertical="center" wrapText="1"/>
    </xf>
    <xf numFmtId="0" fontId="152" fillId="26" borderId="42" xfId="0" applyFont="1" applyFill="1" applyBorder="1" applyAlignment="1" applyProtection="1">
      <alignment horizontal="center" vertical="center" wrapText="1"/>
    </xf>
    <xf numFmtId="193" fontId="222" fillId="29" borderId="53" xfId="0" applyNumberFormat="1" applyFont="1" applyFill="1" applyBorder="1" applyAlignment="1" applyProtection="1">
      <alignment horizontal="center" vertical="center"/>
    </xf>
    <xf numFmtId="193" fontId="222" fillId="29" borderId="54" xfId="0" applyNumberFormat="1" applyFont="1" applyFill="1" applyBorder="1" applyAlignment="1" applyProtection="1">
      <alignment horizontal="center" vertical="center"/>
    </xf>
    <xf numFmtId="193" fontId="222" fillId="29" borderId="59" xfId="0" applyNumberFormat="1" applyFont="1" applyFill="1" applyBorder="1" applyAlignment="1" applyProtection="1">
      <alignment horizontal="center" vertical="center"/>
    </xf>
    <xf numFmtId="0" fontId="152" fillId="26" borderId="72" xfId="0" applyFont="1" applyFill="1" applyBorder="1" applyAlignment="1">
      <alignment horizontal="center" vertical="center" wrapText="1"/>
    </xf>
    <xf numFmtId="0" fontId="152" fillId="26" borderId="27" xfId="0" applyFont="1" applyFill="1" applyBorder="1" applyAlignment="1">
      <alignment horizontal="center" vertical="center" wrapText="1"/>
    </xf>
    <xf numFmtId="0" fontId="152" fillId="26" borderId="42" xfId="0" applyFont="1" applyFill="1" applyBorder="1" applyAlignment="1">
      <alignment horizontal="center" vertical="center" wrapText="1"/>
    </xf>
    <xf numFmtId="0" fontId="211" fillId="32" borderId="0" xfId="0" applyFont="1" applyFill="1" applyBorder="1" applyAlignment="1">
      <alignment horizontal="center" vertical="center" shrinkToFit="1"/>
    </xf>
    <xf numFmtId="0" fontId="211" fillId="32" borderId="38" xfId="0" applyFont="1" applyFill="1" applyBorder="1" applyAlignment="1">
      <alignment horizontal="center" vertical="center" shrinkToFit="1"/>
    </xf>
    <xf numFmtId="217" fontId="238" fillId="33" borderId="0" xfId="90" applyNumberFormat="1" applyFont="1" applyFill="1" applyAlignment="1"/>
    <xf numFmtId="0" fontId="181" fillId="34" borderId="0" xfId="90" applyFont="1" applyFill="1" applyAlignment="1" applyProtection="1">
      <alignment horizontal="center" vertical="center"/>
    </xf>
    <xf numFmtId="0" fontId="125" fillId="32" borderId="0" xfId="90" applyFont="1" applyFill="1" applyAlignment="1">
      <alignment horizontal="center" vertical="center" wrapText="1"/>
    </xf>
    <xf numFmtId="0" fontId="96" fillId="32" borderId="0" xfId="90" applyFont="1" applyFill="1" applyAlignment="1">
      <alignment horizontal="center" vertical="center" wrapText="1"/>
    </xf>
    <xf numFmtId="0" fontId="125" fillId="0" borderId="15" xfId="58" applyFont="1" applyFill="1" applyBorder="1" applyAlignment="1">
      <alignment horizontal="center" vertical="center"/>
    </xf>
    <xf numFmtId="0" fontId="125" fillId="0" borderId="12" xfId="58" applyFont="1" applyFill="1" applyBorder="1" applyAlignment="1">
      <alignment horizontal="center" vertical="center"/>
    </xf>
    <xf numFmtId="0" fontId="96" fillId="0" borderId="115" xfId="58" applyFont="1" applyFill="1" applyBorder="1" applyAlignment="1">
      <alignment horizontal="center" vertical="center"/>
    </xf>
    <xf numFmtId="0" fontId="96" fillId="0" borderId="0" xfId="58" applyFont="1" applyFill="1" applyBorder="1" applyAlignment="1">
      <alignment horizontal="center" vertical="center"/>
    </xf>
    <xf numFmtId="0" fontId="96" fillId="0" borderId="44" xfId="58" applyFont="1" applyFill="1" applyBorder="1" applyAlignment="1">
      <alignment horizontal="center" vertical="center"/>
    </xf>
    <xf numFmtId="0" fontId="96" fillId="0" borderId="45" xfId="58" applyFont="1" applyFill="1" applyBorder="1" applyAlignment="1">
      <alignment horizontal="center" vertical="center"/>
    </xf>
    <xf numFmtId="0" fontId="96" fillId="0" borderId="11" xfId="58" applyFont="1" applyFill="1" applyBorder="1" applyAlignment="1">
      <alignment horizontal="center" vertical="center"/>
    </xf>
    <xf numFmtId="0" fontId="96" fillId="0" borderId="46" xfId="58" applyFont="1" applyFill="1" applyBorder="1" applyAlignment="1">
      <alignment horizontal="center" vertical="center"/>
    </xf>
    <xf numFmtId="0" fontId="37" fillId="26" borderId="0" xfId="58" applyFont="1" applyFill="1" applyAlignment="1">
      <alignment horizontal="center"/>
    </xf>
    <xf numFmtId="0" fontId="125" fillId="0" borderId="10" xfId="58" applyFont="1" applyFill="1" applyBorder="1" applyAlignment="1">
      <alignment horizontal="center" vertical="center"/>
    </xf>
    <xf numFmtId="0" fontId="96" fillId="0" borderId="43" xfId="58" applyFont="1" applyFill="1" applyBorder="1" applyAlignment="1">
      <alignment horizontal="center" vertical="center"/>
    </xf>
    <xf numFmtId="0" fontId="96" fillId="0" borderId="16" xfId="58" applyFont="1" applyFill="1" applyBorder="1" applyAlignment="1">
      <alignment horizontal="center" vertical="center"/>
    </xf>
    <xf numFmtId="0" fontId="96" fillId="0" borderId="17" xfId="58" applyFont="1" applyFill="1" applyBorder="1" applyAlignment="1">
      <alignment horizontal="center" vertical="center"/>
    </xf>
    <xf numFmtId="2" fontId="96" fillId="65" borderId="0" xfId="58" applyNumberFormat="1" applyFont="1" applyFill="1" applyBorder="1" applyAlignment="1">
      <alignment horizontal="center" vertical="center"/>
    </xf>
    <xf numFmtId="2" fontId="96" fillId="65" borderId="44" xfId="58" applyNumberFormat="1" applyFont="1" applyFill="1" applyBorder="1" applyAlignment="1">
      <alignment horizontal="center" vertical="center"/>
    </xf>
    <xf numFmtId="2" fontId="96" fillId="65" borderId="11" xfId="58" applyNumberFormat="1" applyFont="1" applyFill="1" applyBorder="1" applyAlignment="1">
      <alignment horizontal="center" vertical="center"/>
    </xf>
    <xf numFmtId="2" fontId="96" fillId="65" borderId="46" xfId="58" applyNumberFormat="1" applyFont="1" applyFill="1" applyBorder="1" applyAlignment="1">
      <alignment horizontal="center" vertical="center"/>
    </xf>
    <xf numFmtId="211" fontId="201" fillId="32" borderId="11" xfId="0" applyNumberFormat="1" applyFont="1" applyFill="1" applyBorder="1" applyAlignment="1" applyProtection="1">
      <alignment horizontal="center" vertical="center"/>
    </xf>
    <xf numFmtId="211" fontId="201" fillId="32" borderId="46" xfId="0" applyNumberFormat="1" applyFont="1" applyFill="1" applyBorder="1" applyAlignment="1" applyProtection="1">
      <alignment horizontal="center" vertical="center"/>
    </xf>
    <xf numFmtId="0" fontId="153" fillId="26" borderId="10" xfId="0" applyFont="1" applyFill="1" applyBorder="1" applyAlignment="1" applyProtection="1">
      <alignment horizontal="center" vertical="center"/>
    </xf>
    <xf numFmtId="0" fontId="37" fillId="26" borderId="0" xfId="58" applyFont="1" applyFill="1" applyBorder="1" applyAlignment="1">
      <alignment horizontal="center"/>
    </xf>
    <xf numFmtId="0" fontId="37" fillId="26" borderId="0" xfId="0" applyFont="1" applyFill="1" applyBorder="1" applyAlignment="1">
      <alignment horizontal="center" vertical="top"/>
    </xf>
    <xf numFmtId="0" fontId="25" fillId="26" borderId="0" xfId="58" applyFont="1" applyFill="1" applyAlignment="1">
      <alignment horizontal="center"/>
    </xf>
    <xf numFmtId="0" fontId="33" fillId="26" borderId="0" xfId="58" applyFont="1" applyFill="1" applyAlignment="1">
      <alignment horizontal="center" vertical="center" wrapText="1"/>
    </xf>
    <xf numFmtId="0" fontId="26" fillId="26" borderId="36" xfId="58" applyFont="1" applyFill="1" applyBorder="1" applyAlignment="1">
      <alignment horizontal="center" vertical="top" wrapText="1"/>
    </xf>
    <xf numFmtId="0" fontId="26" fillId="26" borderId="0" xfId="58" applyFont="1" applyFill="1" applyBorder="1" applyAlignment="1">
      <alignment horizontal="center" vertical="top" wrapText="1"/>
    </xf>
    <xf numFmtId="0" fontId="37" fillId="26" borderId="36" xfId="58" applyFont="1" applyFill="1" applyBorder="1" applyAlignment="1">
      <alignment horizontal="center" vertical="top"/>
    </xf>
    <xf numFmtId="0" fontId="37" fillId="26" borderId="0" xfId="58" applyFont="1" applyFill="1" applyBorder="1" applyAlignment="1">
      <alignment horizontal="center" vertical="top"/>
    </xf>
    <xf numFmtId="188" fontId="83" fillId="26" borderId="0" xfId="32" applyNumberFormat="1" applyFont="1" applyFill="1" applyAlignment="1">
      <alignment horizontal="center" vertical="center"/>
    </xf>
    <xf numFmtId="188" fontId="84" fillId="26" borderId="0" xfId="32" applyNumberFormat="1" applyFont="1" applyFill="1" applyAlignment="1">
      <alignment horizontal="center" vertical="center"/>
    </xf>
    <xf numFmtId="0" fontId="26" fillId="26" borderId="0" xfId="58" applyFont="1" applyFill="1" applyAlignment="1">
      <alignment horizontal="center"/>
    </xf>
    <xf numFmtId="14" fontId="26" fillId="65" borderId="0" xfId="58" applyNumberFormat="1" applyFont="1" applyFill="1" applyAlignment="1">
      <alignment horizontal="center"/>
    </xf>
    <xf numFmtId="0" fontId="153" fillId="32" borderId="43" xfId="0" applyFont="1" applyFill="1" applyBorder="1" applyAlignment="1" applyProtection="1">
      <alignment horizontal="left" vertical="center" shrinkToFit="1"/>
    </xf>
    <xf numFmtId="0" fontId="153" fillId="32" borderId="16" xfId="0" applyFont="1" applyFill="1" applyBorder="1" applyAlignment="1" applyProtection="1">
      <alignment horizontal="left" vertical="center" shrinkToFit="1"/>
    </xf>
    <xf numFmtId="0" fontId="153" fillId="32" borderId="229" xfId="0" applyFont="1" applyFill="1" applyBorder="1" applyAlignment="1" applyProtection="1">
      <alignment horizontal="left" vertical="center" shrinkToFit="1"/>
    </xf>
    <xf numFmtId="0" fontId="153" fillId="32" borderId="189" xfId="0" applyFont="1" applyFill="1" applyBorder="1" applyAlignment="1" applyProtection="1">
      <alignment horizontal="left" vertical="center" shrinkToFit="1"/>
    </xf>
    <xf numFmtId="211" fontId="130" fillId="65" borderId="16" xfId="0" applyNumberFormat="1" applyFont="1" applyFill="1" applyBorder="1" applyAlignment="1" applyProtection="1">
      <alignment horizontal="center" vertical="center"/>
    </xf>
    <xf numFmtId="211" fontId="130" fillId="65" borderId="17" xfId="0" applyNumberFormat="1" applyFont="1" applyFill="1" applyBorder="1" applyAlignment="1" applyProtection="1">
      <alignment horizontal="center" vertical="center"/>
    </xf>
    <xf numFmtId="217" fontId="130" fillId="32" borderId="0" xfId="0" applyNumberFormat="1" applyFont="1" applyFill="1" applyBorder="1" applyAlignment="1" applyProtection="1">
      <alignment horizontal="center" vertical="center"/>
    </xf>
    <xf numFmtId="217" fontId="130" fillId="32" borderId="44" xfId="0" applyNumberFormat="1" applyFont="1" applyFill="1" applyBorder="1" applyAlignment="1" applyProtection="1">
      <alignment horizontal="center" vertical="center"/>
    </xf>
    <xf numFmtId="217" fontId="164" fillId="32" borderId="143" xfId="0" applyNumberFormat="1" applyFont="1" applyFill="1" applyBorder="1" applyAlignment="1" applyProtection="1">
      <alignment horizontal="center" vertical="center"/>
    </xf>
    <xf numFmtId="217" fontId="164" fillId="32" borderId="134" xfId="0" applyNumberFormat="1" applyFont="1" applyFill="1" applyBorder="1" applyAlignment="1" applyProtection="1">
      <alignment horizontal="center" vertical="center"/>
    </xf>
    <xf numFmtId="231" fontId="152" fillId="32" borderId="0" xfId="0" applyNumberFormat="1" applyFont="1" applyFill="1" applyBorder="1" applyAlignment="1" applyProtection="1">
      <alignment horizontal="center" vertical="center"/>
    </xf>
    <xf numFmtId="231" fontId="152" fillId="32" borderId="44" xfId="0" applyNumberFormat="1" applyFont="1" applyFill="1" applyBorder="1" applyAlignment="1" applyProtection="1">
      <alignment horizontal="center" vertical="center"/>
    </xf>
    <xf numFmtId="211" fontId="185" fillId="32" borderId="189" xfId="0" applyNumberFormat="1" applyFont="1" applyFill="1" applyBorder="1" applyAlignment="1" applyProtection="1">
      <alignment horizontal="center" vertical="center" shrinkToFit="1"/>
    </xf>
    <xf numFmtId="211" fontId="185" fillId="32" borderId="135" xfId="0" applyNumberFormat="1" applyFont="1" applyFill="1" applyBorder="1" applyAlignment="1" applyProtection="1">
      <alignment horizontal="center" vertical="center" shrinkToFit="1"/>
    </xf>
    <xf numFmtId="0" fontId="37" fillId="26" borderId="36" xfId="58" applyFont="1" applyFill="1" applyBorder="1" applyAlignment="1">
      <alignment horizontal="center"/>
    </xf>
    <xf numFmtId="0" fontId="37" fillId="26" borderId="0" xfId="0" applyFont="1" applyFill="1" applyAlignment="1">
      <alignment horizontal="center" vertical="top"/>
    </xf>
    <xf numFmtId="0" fontId="24" fillId="26" borderId="0" xfId="58" applyFont="1" applyFill="1" applyAlignment="1">
      <alignment horizontal="center"/>
    </xf>
    <xf numFmtId="0" fontId="26" fillId="26" borderId="0" xfId="58" applyFont="1" applyFill="1" applyAlignment="1">
      <alignment horizontal="center" vertical="center" wrapText="1"/>
    </xf>
    <xf numFmtId="184" fontId="82" fillId="32" borderId="0" xfId="32" applyFont="1" applyFill="1" applyAlignment="1">
      <alignment horizontal="center" vertical="center"/>
    </xf>
    <xf numFmtId="184" fontId="84" fillId="0" borderId="0" xfId="32" applyFont="1" applyFill="1" applyAlignment="1">
      <alignment horizontal="center" vertical="center"/>
    </xf>
    <xf numFmtId="0" fontId="26" fillId="26" borderId="0" xfId="58" quotePrefix="1" applyFont="1" applyFill="1" applyAlignment="1">
      <alignment horizontal="center"/>
    </xf>
    <xf numFmtId="0" fontId="24" fillId="26" borderId="0" xfId="58" quotePrefix="1" applyFont="1" applyFill="1" applyAlignment="1">
      <alignment horizontal="center"/>
    </xf>
    <xf numFmtId="0" fontId="24" fillId="26" borderId="0" xfId="58" applyFont="1" applyFill="1" applyAlignment="1">
      <alignment horizontal="center" vertical="center"/>
    </xf>
    <xf numFmtId="273" fontId="26" fillId="26" borderId="0" xfId="58" applyNumberFormat="1" applyFont="1" applyFill="1" applyAlignment="1">
      <alignment horizontal="left"/>
    </xf>
    <xf numFmtId="0" fontId="26" fillId="26" borderId="13" xfId="58" applyFont="1" applyFill="1" applyBorder="1" applyAlignment="1">
      <alignment horizontal="center"/>
    </xf>
    <xf numFmtId="184" fontId="84" fillId="26" borderId="0" xfId="32" applyFont="1" applyFill="1" applyAlignment="1">
      <alignment horizontal="center" vertical="center"/>
    </xf>
    <xf numFmtId="4" fontId="26" fillId="26" borderId="0" xfId="58" applyNumberFormat="1" applyFont="1" applyFill="1" applyAlignment="1">
      <alignment horizontal="left"/>
    </xf>
    <xf numFmtId="184" fontId="82" fillId="26" borderId="0" xfId="32" applyFont="1" applyFill="1" applyAlignment="1">
      <alignment horizontal="center" vertical="center"/>
    </xf>
    <xf numFmtId="0" fontId="24" fillId="34" borderId="13" xfId="58" applyFont="1" applyFill="1" applyBorder="1" applyAlignment="1">
      <alignment horizontal="center" vertical="center" wrapText="1"/>
    </xf>
    <xf numFmtId="0" fontId="24" fillId="34" borderId="13" xfId="58" applyFont="1" applyFill="1" applyBorder="1" applyAlignment="1">
      <alignment horizontal="center" vertical="center"/>
    </xf>
    <xf numFmtId="0" fontId="24" fillId="34" borderId="35" xfId="58" applyFont="1" applyFill="1" applyBorder="1" applyAlignment="1">
      <alignment horizontal="center" vertical="center" wrapText="1"/>
    </xf>
    <xf numFmtId="0" fontId="24" fillId="34" borderId="36" xfId="58" applyFont="1" applyFill="1" applyBorder="1" applyAlignment="1">
      <alignment horizontal="center" vertical="center" wrapText="1"/>
    </xf>
    <xf numFmtId="0" fontId="24" fillId="34" borderId="52" xfId="58" applyFont="1" applyFill="1" applyBorder="1" applyAlignment="1">
      <alignment horizontal="center" vertical="center" wrapText="1"/>
    </xf>
    <xf numFmtId="0" fontId="24" fillId="34" borderId="37" xfId="58" applyFont="1" applyFill="1" applyBorder="1" applyAlignment="1">
      <alignment horizontal="center" vertical="center" wrapText="1"/>
    </xf>
    <xf numFmtId="0" fontId="24" fillId="34" borderId="0" xfId="58" applyFont="1" applyFill="1" applyBorder="1" applyAlignment="1">
      <alignment horizontal="center" vertical="center" wrapText="1"/>
    </xf>
    <xf numFmtId="0" fontId="24" fillId="34" borderId="38" xfId="58" applyFont="1" applyFill="1" applyBorder="1" applyAlignment="1">
      <alignment horizontal="center" vertical="center" wrapText="1"/>
    </xf>
    <xf numFmtId="0" fontId="24" fillId="34" borderId="39" xfId="58" applyFont="1" applyFill="1" applyBorder="1" applyAlignment="1">
      <alignment horizontal="center" vertical="center" wrapText="1"/>
    </xf>
    <xf numFmtId="0" fontId="24" fillId="34" borderId="40" xfId="58" applyFont="1" applyFill="1" applyBorder="1" applyAlignment="1">
      <alignment horizontal="center" vertical="center" wrapText="1"/>
    </xf>
    <xf numFmtId="0" fontId="24" fillId="34" borderId="41" xfId="58" applyFont="1" applyFill="1" applyBorder="1" applyAlignment="1">
      <alignment horizontal="center" vertical="center" wrapText="1"/>
    </xf>
    <xf numFmtId="0" fontId="24" fillId="34" borderId="63" xfId="58" applyFont="1" applyFill="1" applyBorder="1" applyAlignment="1">
      <alignment horizontal="center" vertical="center"/>
    </xf>
    <xf numFmtId="0" fontId="24" fillId="34" borderId="71" xfId="58" applyFont="1" applyFill="1" applyBorder="1" applyAlignment="1">
      <alignment horizontal="center" vertical="center"/>
    </xf>
    <xf numFmtId="0" fontId="24" fillId="34" borderId="64" xfId="58" applyFont="1" applyFill="1" applyBorder="1" applyAlignment="1">
      <alignment horizontal="center" vertical="center"/>
    </xf>
    <xf numFmtId="2" fontId="26" fillId="26" borderId="45" xfId="58" applyNumberFormat="1" applyFont="1" applyFill="1" applyBorder="1" applyAlignment="1">
      <alignment horizontal="center"/>
    </xf>
    <xf numFmtId="0" fontId="26" fillId="26" borderId="11" xfId="58" applyFont="1" applyFill="1" applyBorder="1" applyAlignment="1">
      <alignment horizontal="center"/>
    </xf>
    <xf numFmtId="0" fontId="26" fillId="26" borderId="46" xfId="58" applyFont="1" applyFill="1" applyBorder="1" applyAlignment="1">
      <alignment horizontal="center"/>
    </xf>
    <xf numFmtId="2" fontId="26" fillId="26" borderId="15" xfId="58" applyNumberFormat="1" applyFont="1" applyFill="1" applyBorder="1" applyAlignment="1">
      <alignment horizontal="center"/>
    </xf>
    <xf numFmtId="2" fontId="26" fillId="26" borderId="10" xfId="58" applyNumberFormat="1" applyFont="1" applyFill="1" applyBorder="1" applyAlignment="1">
      <alignment horizontal="center"/>
    </xf>
    <xf numFmtId="2" fontId="26" fillId="26" borderId="12" xfId="58" applyNumberFormat="1" applyFont="1" applyFill="1" applyBorder="1" applyAlignment="1">
      <alignment horizontal="center"/>
    </xf>
    <xf numFmtId="2" fontId="26" fillId="26" borderId="86" xfId="58" applyNumberFormat="1" applyFont="1" applyFill="1" applyBorder="1" applyAlignment="1">
      <alignment horizontal="center"/>
    </xf>
    <xf numFmtId="0" fontId="26" fillId="26" borderId="82" xfId="58" applyFont="1" applyFill="1" applyBorder="1" applyAlignment="1">
      <alignment horizontal="center"/>
    </xf>
    <xf numFmtId="0" fontId="26" fillId="26" borderId="68" xfId="58" applyFont="1" applyFill="1" applyBorder="1" applyAlignment="1">
      <alignment horizontal="center"/>
    </xf>
    <xf numFmtId="2" fontId="26" fillId="26" borderId="65" xfId="58" applyNumberFormat="1" applyFont="1" applyFill="1" applyBorder="1" applyAlignment="1">
      <alignment horizontal="center"/>
    </xf>
    <xf numFmtId="0" fontId="26" fillId="26" borderId="65" xfId="58" applyFont="1" applyFill="1" applyBorder="1" applyAlignment="1">
      <alignment horizontal="center"/>
    </xf>
    <xf numFmtId="0" fontId="68" fillId="32" borderId="0" xfId="58" applyFont="1" applyFill="1" applyBorder="1" applyAlignment="1">
      <alignment horizontal="center"/>
    </xf>
    <xf numFmtId="299" fontId="15" fillId="26" borderId="0" xfId="58" applyNumberFormat="1" applyFont="1" applyFill="1" applyAlignment="1">
      <alignment horizontal="left"/>
    </xf>
    <xf numFmtId="0" fontId="26" fillId="32" borderId="0" xfId="58" quotePrefix="1" applyFont="1" applyFill="1" applyAlignment="1">
      <alignment horizontal="left"/>
    </xf>
    <xf numFmtId="0" fontId="332" fillId="32" borderId="0" xfId="58" applyFont="1" applyFill="1" applyBorder="1" applyAlignment="1">
      <alignment horizontal="center" vertical="center"/>
    </xf>
    <xf numFmtId="0" fontId="332" fillId="32" borderId="0" xfId="58" applyFont="1" applyFill="1" applyBorder="1" applyAlignment="1">
      <alignment horizontal="center" vertical="center" wrapText="1"/>
    </xf>
    <xf numFmtId="300" fontId="15" fillId="32" borderId="0" xfId="58" applyNumberFormat="1" applyFont="1" applyFill="1" applyAlignment="1">
      <alignment horizontal="left"/>
    </xf>
    <xf numFmtId="0" fontId="24" fillId="29" borderId="63" xfId="58" applyFont="1" applyFill="1" applyBorder="1" applyAlignment="1">
      <alignment horizontal="center" vertical="center"/>
    </xf>
    <xf numFmtId="0" fontId="24" fillId="29" borderId="71" xfId="58" applyFont="1" applyFill="1" applyBorder="1" applyAlignment="1">
      <alignment horizontal="center" vertical="center"/>
    </xf>
    <xf numFmtId="0" fontId="24" fillId="29" borderId="64" xfId="58" applyFont="1" applyFill="1" applyBorder="1" applyAlignment="1">
      <alignment horizontal="center" vertical="center"/>
    </xf>
    <xf numFmtId="0" fontId="24" fillId="29" borderId="35" xfId="58" applyFont="1" applyFill="1" applyBorder="1" applyAlignment="1">
      <alignment horizontal="center" vertical="center" wrapText="1"/>
    </xf>
    <xf numFmtId="0" fontId="24" fillId="29" borderId="36" xfId="58" applyFont="1" applyFill="1" applyBorder="1" applyAlignment="1">
      <alignment horizontal="center" vertical="center" wrapText="1"/>
    </xf>
    <xf numFmtId="0" fontId="24" fillId="29" borderId="52" xfId="58" applyFont="1" applyFill="1" applyBorder="1" applyAlignment="1">
      <alignment horizontal="center" vertical="center" wrapText="1"/>
    </xf>
    <xf numFmtId="0" fontId="24" fillId="29" borderId="37" xfId="58" applyFont="1" applyFill="1" applyBorder="1" applyAlignment="1">
      <alignment horizontal="center" vertical="center" wrapText="1"/>
    </xf>
    <xf numFmtId="0" fontId="24" fillId="29" borderId="0" xfId="58" applyFont="1" applyFill="1" applyBorder="1" applyAlignment="1">
      <alignment horizontal="center" vertical="center" wrapText="1"/>
    </xf>
    <xf numFmtId="0" fontId="24" fillId="29" borderId="38" xfId="58" applyFont="1" applyFill="1" applyBorder="1" applyAlignment="1">
      <alignment horizontal="center" vertical="center" wrapText="1"/>
    </xf>
    <xf numFmtId="0" fontId="24" fillId="29" borderId="39" xfId="58" applyFont="1" applyFill="1" applyBorder="1" applyAlignment="1">
      <alignment horizontal="center" vertical="center" wrapText="1"/>
    </xf>
    <xf numFmtId="0" fontId="24" fillId="29" borderId="40" xfId="58" applyFont="1" applyFill="1" applyBorder="1" applyAlignment="1">
      <alignment horizontal="center" vertical="center" wrapText="1"/>
    </xf>
    <xf numFmtId="0" fontId="24" fillId="29" borderId="41" xfId="58" applyFont="1" applyFill="1" applyBorder="1" applyAlignment="1">
      <alignment horizontal="center" vertical="center" wrapText="1"/>
    </xf>
    <xf numFmtId="44" fontId="24" fillId="26" borderId="0" xfId="58" quotePrefix="1" applyNumberFormat="1" applyFont="1" applyFill="1" applyAlignment="1">
      <alignment horizontal="center"/>
    </xf>
    <xf numFmtId="282" fontId="24" fillId="26" borderId="0" xfId="58" quotePrefix="1" applyNumberFormat="1" applyFont="1" applyFill="1" applyAlignment="1">
      <alignment horizontal="center" vertical="center"/>
    </xf>
    <xf numFmtId="0" fontId="26" fillId="26" borderId="0" xfId="58" applyNumberFormat="1" applyFont="1" applyFill="1" applyAlignment="1">
      <alignment horizontal="left"/>
    </xf>
    <xf numFmtId="0" fontId="24" fillId="40" borderId="0" xfId="90" applyFont="1" applyFill="1" applyAlignment="1">
      <alignment horizontal="center" vertical="center"/>
    </xf>
    <xf numFmtId="0" fontId="14" fillId="0" borderId="53" xfId="90" applyFont="1" applyFill="1" applyBorder="1" applyAlignment="1" applyProtection="1">
      <alignment horizontal="center" vertical="center"/>
    </xf>
    <xf numFmtId="0" fontId="14" fillId="0" borderId="54" xfId="90" applyFont="1" applyFill="1" applyBorder="1" applyAlignment="1" applyProtection="1">
      <alignment horizontal="center" vertical="center"/>
    </xf>
    <xf numFmtId="0" fontId="14" fillId="0" borderId="59" xfId="90" applyFont="1" applyFill="1" applyBorder="1" applyAlignment="1" applyProtection="1">
      <alignment horizontal="center" vertical="center"/>
    </xf>
    <xf numFmtId="249" fontId="67" fillId="26" borderId="173" xfId="58" applyNumberFormat="1" applyFont="1" applyFill="1" applyBorder="1" applyAlignment="1">
      <alignment horizontal="center" vertical="center"/>
    </xf>
    <xf numFmtId="249" fontId="67" fillId="26" borderId="174" xfId="58" applyNumberFormat="1" applyFont="1" applyFill="1" applyBorder="1" applyAlignment="1">
      <alignment horizontal="center" vertical="center"/>
    </xf>
    <xf numFmtId="0" fontId="97" fillId="26" borderId="36" xfId="58" applyFont="1" applyFill="1" applyBorder="1" applyAlignment="1">
      <alignment horizontal="center" vertical="center" shrinkToFit="1"/>
    </xf>
    <xf numFmtId="0" fontId="97" fillId="26" borderId="52" xfId="58" applyFont="1" applyFill="1" applyBorder="1" applyAlignment="1">
      <alignment horizontal="center" vertical="center" shrinkToFit="1"/>
    </xf>
    <xf numFmtId="0" fontId="97" fillId="26" borderId="0" xfId="58" applyFont="1" applyFill="1" applyBorder="1" applyAlignment="1">
      <alignment horizontal="center" vertical="center"/>
    </xf>
    <xf numFmtId="0" fontId="97" fillId="26" borderId="38" xfId="58" applyFont="1" applyFill="1" applyBorder="1" applyAlignment="1">
      <alignment horizontal="center" vertical="center"/>
    </xf>
    <xf numFmtId="0" fontId="105" fillId="26" borderId="54" xfId="58" applyFont="1" applyFill="1" applyBorder="1" applyAlignment="1" applyProtection="1">
      <alignment horizontal="center" vertical="center"/>
    </xf>
    <xf numFmtId="0" fontId="105" fillId="26" borderId="59" xfId="58" applyFont="1" applyFill="1" applyBorder="1" applyAlignment="1" applyProtection="1">
      <alignment horizontal="center" vertical="center"/>
    </xf>
    <xf numFmtId="0" fontId="105" fillId="26" borderId="53" xfId="58" applyFont="1" applyFill="1" applyBorder="1" applyAlignment="1" applyProtection="1">
      <alignment horizontal="center" vertical="center"/>
    </xf>
    <xf numFmtId="3" fontId="106" fillId="26" borderId="35" xfId="58" applyNumberFormat="1" applyFont="1" applyFill="1" applyBorder="1" applyAlignment="1" applyProtection="1">
      <alignment horizontal="center" vertical="center"/>
    </xf>
    <xf numFmtId="0" fontId="106" fillId="26" borderId="36" xfId="58" applyFont="1" applyFill="1" applyBorder="1" applyAlignment="1" applyProtection="1">
      <alignment horizontal="center" vertical="center"/>
    </xf>
    <xf numFmtId="0" fontId="106" fillId="26" borderId="52" xfId="58" applyFont="1" applyFill="1" applyBorder="1" applyAlignment="1" applyProtection="1">
      <alignment horizontal="center" vertical="center"/>
    </xf>
    <xf numFmtId="255" fontId="111" fillId="26" borderId="39" xfId="58" applyNumberFormat="1" applyFont="1" applyFill="1" applyBorder="1" applyAlignment="1">
      <alignment horizontal="left" vertical="center"/>
    </xf>
    <xf numFmtId="255" fontId="67" fillId="26" borderId="40" xfId="58" applyNumberFormat="1" applyFont="1" applyFill="1" applyBorder="1" applyAlignment="1"/>
    <xf numFmtId="0" fontId="101" fillId="0" borderId="13" xfId="58" applyFont="1" applyFill="1" applyBorder="1" applyAlignment="1" applyProtection="1">
      <alignment horizontal="center" vertical="center"/>
    </xf>
    <xf numFmtId="0" fontId="101" fillId="0" borderId="29" xfId="58" applyFont="1" applyFill="1" applyBorder="1" applyAlignment="1" applyProtection="1">
      <alignment horizontal="center" vertical="center"/>
    </xf>
    <xf numFmtId="249" fontId="67" fillId="32" borderId="145" xfId="58" applyNumberFormat="1" applyFont="1" applyFill="1" applyBorder="1" applyAlignment="1">
      <alignment horizontal="center" vertical="center"/>
    </xf>
    <xf numFmtId="249" fontId="67" fillId="32" borderId="175" xfId="58" applyNumberFormat="1" applyFont="1" applyFill="1" applyBorder="1" applyAlignment="1">
      <alignment horizontal="center" vertical="center"/>
    </xf>
    <xf numFmtId="0" fontId="101" fillId="0" borderId="51" xfId="58" applyFont="1" applyFill="1" applyBorder="1" applyAlignment="1" applyProtection="1">
      <alignment horizontal="center" vertical="center"/>
    </xf>
    <xf numFmtId="0" fontId="101" fillId="0" borderId="32" xfId="58" applyFont="1" applyFill="1" applyBorder="1" applyAlignment="1" applyProtection="1">
      <alignment horizontal="center" vertical="center"/>
    </xf>
    <xf numFmtId="0" fontId="101" fillId="0" borderId="49" xfId="58" applyFont="1" applyFill="1" applyBorder="1" applyAlignment="1" applyProtection="1">
      <alignment horizontal="left" vertical="center"/>
    </xf>
    <xf numFmtId="0" fontId="101" fillId="0" borderId="13" xfId="58" applyFont="1" applyFill="1" applyBorder="1" applyAlignment="1" applyProtection="1">
      <alignment horizontal="left" vertical="center"/>
    </xf>
    <xf numFmtId="0" fontId="101" fillId="0" borderId="80" xfId="58" applyFont="1" applyFill="1" applyBorder="1" applyAlignment="1" applyProtection="1">
      <alignment horizontal="left" vertical="center"/>
    </xf>
    <xf numFmtId="0" fontId="101" fillId="0" borderId="68" xfId="58" applyFont="1" applyFill="1" applyBorder="1" applyAlignment="1" applyProtection="1">
      <alignment horizontal="left" vertical="center"/>
    </xf>
    <xf numFmtId="0" fontId="101" fillId="26" borderId="49" xfId="58" applyFont="1" applyFill="1" applyBorder="1" applyAlignment="1" applyProtection="1">
      <alignment horizontal="left" vertical="center"/>
    </xf>
    <xf numFmtId="0" fontId="101" fillId="26" borderId="13" xfId="58" applyFont="1" applyFill="1" applyBorder="1" applyAlignment="1" applyProtection="1">
      <alignment horizontal="left" vertical="center"/>
    </xf>
    <xf numFmtId="0" fontId="101" fillId="26" borderId="50" xfId="58" applyFont="1" applyFill="1" applyBorder="1" applyAlignment="1" applyProtection="1">
      <alignment horizontal="left" vertical="center"/>
    </xf>
    <xf numFmtId="0" fontId="101" fillId="26" borderId="51" xfId="58" applyFont="1" applyFill="1" applyBorder="1" applyAlignment="1" applyProtection="1">
      <alignment horizontal="left" vertical="center"/>
    </xf>
    <xf numFmtId="254" fontId="111" fillId="26" borderId="37" xfId="58" applyNumberFormat="1" applyFont="1" applyFill="1" applyBorder="1" applyAlignment="1">
      <alignment horizontal="left" vertical="center"/>
    </xf>
    <xf numFmtId="254" fontId="67" fillId="26" borderId="0" xfId="58" applyNumberFormat="1" applyFont="1" applyFill="1" applyBorder="1" applyAlignment="1"/>
    <xf numFmtId="0" fontId="288" fillId="26" borderId="35" xfId="58" applyFont="1" applyFill="1" applyBorder="1" applyAlignment="1">
      <alignment horizontal="center" vertical="center"/>
    </xf>
    <xf numFmtId="0" fontId="288" fillId="26" borderId="36" xfId="58" applyFont="1" applyFill="1" applyBorder="1" applyAlignment="1">
      <alignment horizontal="center" vertical="center"/>
    </xf>
    <xf numFmtId="0" fontId="288" fillId="26" borderId="52" xfId="58" applyFont="1" applyFill="1" applyBorder="1" applyAlignment="1">
      <alignment horizontal="center" vertical="center"/>
    </xf>
    <xf numFmtId="3" fontId="288" fillId="26" borderId="39" xfId="58" applyNumberFormat="1" applyFont="1" applyFill="1" applyBorder="1" applyAlignment="1" applyProtection="1">
      <alignment horizontal="center" vertical="center"/>
    </xf>
    <xf numFmtId="3" fontId="288" fillId="26" borderId="40" xfId="58" applyNumberFormat="1" applyFont="1" applyFill="1" applyBorder="1" applyAlignment="1" applyProtection="1">
      <alignment horizontal="center" vertical="center"/>
    </xf>
    <xf numFmtId="3" fontId="288" fillId="26" borderId="41" xfId="58" applyNumberFormat="1" applyFont="1" applyFill="1" applyBorder="1" applyAlignment="1" applyProtection="1">
      <alignment horizontal="center" vertical="center"/>
    </xf>
    <xf numFmtId="0" fontId="66" fillId="0" borderId="63" xfId="58" applyFont="1" applyBorder="1" applyAlignment="1" applyProtection="1">
      <alignment horizontal="center" vertical="center" wrapText="1"/>
    </xf>
    <xf numFmtId="0" fontId="66" fillId="0" borderId="64" xfId="58" applyFont="1" applyBorder="1" applyAlignment="1" applyProtection="1">
      <alignment horizontal="center" vertical="center" wrapText="1"/>
    </xf>
    <xf numFmtId="256" fontId="107" fillId="26" borderId="53" xfId="58" applyNumberFormat="1" applyFont="1" applyFill="1" applyBorder="1" applyAlignment="1" applyProtection="1">
      <alignment horizontal="center" vertical="center"/>
      <protection locked="0"/>
    </xf>
    <xf numFmtId="256" fontId="107" fillId="26" borderId="54" xfId="58" applyNumberFormat="1" applyFont="1" applyFill="1" applyBorder="1" applyAlignment="1" applyProtection="1">
      <alignment horizontal="center" vertical="center"/>
      <protection locked="0"/>
    </xf>
    <xf numFmtId="256" fontId="107" fillId="26" borderId="59" xfId="58" applyNumberFormat="1" applyFont="1" applyFill="1" applyBorder="1" applyAlignment="1" applyProtection="1">
      <alignment horizontal="center" vertical="center"/>
      <protection locked="0"/>
    </xf>
    <xf numFmtId="0" fontId="97" fillId="26" borderId="35" xfId="58" applyFont="1" applyFill="1" applyBorder="1" applyAlignment="1">
      <alignment horizontal="center"/>
    </xf>
    <xf numFmtId="0" fontId="97" fillId="26" borderId="36" xfId="58" applyFont="1" applyFill="1" applyBorder="1" applyAlignment="1">
      <alignment horizontal="center"/>
    </xf>
    <xf numFmtId="0" fontId="97" fillId="26" borderId="52" xfId="58" applyFont="1" applyFill="1" applyBorder="1" applyAlignment="1">
      <alignment horizontal="center"/>
    </xf>
    <xf numFmtId="0" fontId="119" fillId="26" borderId="37" xfId="58" applyFont="1" applyFill="1" applyBorder="1" applyAlignment="1">
      <alignment horizontal="center" vertical="center"/>
    </xf>
    <xf numFmtId="0" fontId="119" fillId="26" borderId="0" xfId="58" applyFont="1" applyFill="1" applyBorder="1" applyAlignment="1">
      <alignment horizontal="center" vertical="center"/>
    </xf>
    <xf numFmtId="0" fontId="119" fillId="26" borderId="38" xfId="58" applyFont="1" applyFill="1" applyBorder="1" applyAlignment="1">
      <alignment horizontal="center" vertical="center"/>
    </xf>
    <xf numFmtId="0" fontId="119" fillId="26" borderId="40" xfId="58" applyFont="1" applyFill="1" applyBorder="1" applyAlignment="1">
      <alignment horizontal="left" vertical="center" shrinkToFit="1"/>
    </xf>
    <xf numFmtId="0" fontId="119" fillId="26" borderId="41" xfId="58" applyFont="1" applyFill="1" applyBorder="1" applyAlignment="1">
      <alignment horizontal="left" vertical="center" shrinkToFit="1"/>
    </xf>
    <xf numFmtId="274" fontId="66" fillId="32" borderId="80" xfId="58" applyNumberFormat="1" applyFont="1" applyFill="1" applyBorder="1" applyAlignment="1">
      <alignment horizontal="center" vertical="center"/>
    </xf>
    <xf numFmtId="274" fontId="66" fillId="32" borderId="68" xfId="58" applyNumberFormat="1" applyFont="1" applyFill="1" applyBorder="1" applyAlignment="1">
      <alignment horizontal="center" vertical="center"/>
    </xf>
    <xf numFmtId="0" fontId="66" fillId="26" borderId="86" xfId="58" applyFont="1" applyFill="1" applyBorder="1" applyAlignment="1">
      <alignment horizontal="center" vertical="center" shrinkToFit="1"/>
    </xf>
    <xf numFmtId="0" fontId="66" fillId="26" borderId="169" xfId="58" applyFont="1" applyFill="1" applyBorder="1" applyAlignment="1">
      <alignment horizontal="center" vertical="center" shrinkToFit="1"/>
    </xf>
    <xf numFmtId="0" fontId="66" fillId="26" borderId="80" xfId="58" applyFont="1" applyFill="1" applyBorder="1" applyAlignment="1">
      <alignment horizontal="right" vertical="center" shrinkToFit="1"/>
    </xf>
    <xf numFmtId="0" fontId="66" fillId="26" borderId="82" xfId="58" applyFont="1" applyFill="1" applyBorder="1" applyAlignment="1">
      <alignment horizontal="right" vertical="center" shrinkToFit="1"/>
    </xf>
    <xf numFmtId="0" fontId="66" fillId="26" borderId="169" xfId="58" applyFont="1" applyFill="1" applyBorder="1" applyAlignment="1">
      <alignment horizontal="right" vertical="center" shrinkToFit="1"/>
    </xf>
    <xf numFmtId="0" fontId="107" fillId="27" borderId="53" xfId="58" applyFont="1" applyFill="1" applyBorder="1" applyAlignment="1">
      <alignment horizontal="center" vertical="center"/>
    </xf>
    <xf numFmtId="0" fontId="107" fillId="27" borderId="40" xfId="58" applyFont="1" applyFill="1" applyBorder="1" applyAlignment="1">
      <alignment horizontal="center" vertical="center"/>
    </xf>
    <xf numFmtId="0" fontId="107" fillId="27" borderId="41" xfId="58" applyFont="1" applyFill="1" applyBorder="1" applyAlignment="1">
      <alignment horizontal="center" vertical="center"/>
    </xf>
    <xf numFmtId="0" fontId="107" fillId="27" borderId="54" xfId="58" applyFont="1" applyFill="1" applyBorder="1" applyAlignment="1">
      <alignment horizontal="center" vertical="center"/>
    </xf>
    <xf numFmtId="0" fontId="107" fillId="27" borderId="59" xfId="58" applyFont="1" applyFill="1" applyBorder="1" applyAlignment="1">
      <alignment horizontal="center" vertical="center"/>
    </xf>
    <xf numFmtId="0" fontId="67" fillId="26" borderId="0" xfId="58" quotePrefix="1" applyFont="1" applyFill="1" applyAlignment="1">
      <alignment vertical="center"/>
    </xf>
    <xf numFmtId="0" fontId="67" fillId="26" borderId="0" xfId="58" applyFont="1" applyFill="1" applyAlignment="1">
      <alignment vertical="center"/>
    </xf>
    <xf numFmtId="0" fontId="66" fillId="0" borderId="53" xfId="58" applyFont="1" applyBorder="1" applyAlignment="1" applyProtection="1">
      <alignment horizontal="center" vertical="center"/>
    </xf>
    <xf numFmtId="0" fontId="66" fillId="0" borderId="59" xfId="58" applyFont="1" applyBorder="1" applyAlignment="1" applyProtection="1">
      <alignment horizontal="center" vertical="center"/>
    </xf>
    <xf numFmtId="0" fontId="67" fillId="0" borderId="0" xfId="58" applyFont="1" applyAlignment="1"/>
    <xf numFmtId="224" fontId="66" fillId="32" borderId="35" xfId="62" applyNumberFormat="1" applyFont="1" applyFill="1" applyBorder="1" applyAlignment="1" applyProtection="1">
      <alignment vertical="center"/>
    </xf>
    <xf numFmtId="224" fontId="66" fillId="32" borderId="36" xfId="62" applyNumberFormat="1" applyFont="1" applyFill="1" applyBorder="1" applyAlignment="1" applyProtection="1">
      <alignment vertical="center"/>
    </xf>
    <xf numFmtId="224" fontId="66" fillId="32" borderId="39" xfId="62" applyNumberFormat="1" applyFont="1" applyFill="1" applyBorder="1" applyAlignment="1" applyProtection="1">
      <alignment vertical="center"/>
    </xf>
    <xf numFmtId="224" fontId="66" fillId="32" borderId="40" xfId="62" applyNumberFormat="1" applyFont="1" applyFill="1" applyBorder="1" applyAlignment="1" applyProtection="1">
      <alignment vertical="center"/>
    </xf>
    <xf numFmtId="0" fontId="107" fillId="26" borderId="0" xfId="58" applyFont="1" applyFill="1" applyBorder="1" applyAlignment="1">
      <alignment horizontal="right"/>
    </xf>
    <xf numFmtId="0" fontId="67" fillId="26" borderId="54" xfId="58" applyFont="1" applyFill="1" applyBorder="1" applyAlignment="1">
      <alignment horizontal="center"/>
    </xf>
    <xf numFmtId="0" fontId="67" fillId="26" borderId="59" xfId="58" applyFont="1" applyFill="1" applyBorder="1" applyAlignment="1">
      <alignment horizontal="center"/>
    </xf>
    <xf numFmtId="0" fontId="107" fillId="27" borderId="53" xfId="58" applyNumberFormat="1" applyFont="1" applyFill="1" applyBorder="1" applyAlignment="1" applyProtection="1">
      <alignment horizontal="center" vertical="center"/>
      <protection locked="0"/>
    </xf>
    <xf numFmtId="0" fontId="107" fillId="27" borderId="54" xfId="58" applyNumberFormat="1" applyFont="1" applyFill="1" applyBorder="1" applyAlignment="1" applyProtection="1">
      <alignment horizontal="center" vertical="center"/>
      <protection locked="0"/>
    </xf>
    <xf numFmtId="0" fontId="107" fillId="27" borderId="59" xfId="58" applyNumberFormat="1" applyFont="1" applyFill="1" applyBorder="1" applyAlignment="1" applyProtection="1">
      <alignment horizontal="center" vertical="center"/>
      <protection locked="0"/>
    </xf>
    <xf numFmtId="0" fontId="66" fillId="26" borderId="63" xfId="58" applyFont="1" applyFill="1" applyBorder="1" applyAlignment="1" applyProtection="1">
      <alignment horizontal="center" vertical="center" wrapText="1"/>
    </xf>
    <xf numFmtId="0" fontId="66" fillId="26" borderId="64" xfId="58" applyFont="1" applyFill="1" applyBorder="1" applyAlignment="1" applyProtection="1">
      <alignment horizontal="center" vertical="center" wrapText="1"/>
    </xf>
    <xf numFmtId="0" fontId="66" fillId="0" borderId="35" xfId="58" applyFont="1" applyBorder="1" applyAlignment="1" applyProtection="1">
      <alignment horizontal="center" vertical="center"/>
    </xf>
    <xf numFmtId="0" fontId="66" fillId="0" borderId="52" xfId="58" applyFont="1" applyBorder="1" applyAlignment="1" applyProtection="1">
      <alignment horizontal="center" vertical="center"/>
    </xf>
    <xf numFmtId="0" fontId="66" fillId="0" borderId="39" xfId="58" applyFont="1" applyBorder="1" applyAlignment="1" applyProtection="1">
      <alignment horizontal="center" vertical="center"/>
    </xf>
    <xf numFmtId="0" fontId="66" fillId="0" borderId="41" xfId="58" applyFont="1" applyBorder="1" applyAlignment="1" applyProtection="1">
      <alignment horizontal="center" vertical="center"/>
    </xf>
    <xf numFmtId="256" fontId="101" fillId="26" borderId="53" xfId="58" applyNumberFormat="1" applyFont="1" applyFill="1" applyBorder="1" applyAlignment="1" applyProtection="1">
      <alignment horizontal="center" vertical="center"/>
    </xf>
    <xf numFmtId="256" fontId="101" fillId="26" borderId="59" xfId="58" applyNumberFormat="1" applyFont="1" applyFill="1" applyBorder="1" applyAlignment="1" applyProtection="1">
      <alignment horizontal="center" vertical="center"/>
    </xf>
    <xf numFmtId="0" fontId="66" fillId="26" borderId="53" xfId="58" applyNumberFormat="1" applyFont="1" applyFill="1" applyBorder="1" applyAlignment="1" applyProtection="1">
      <alignment horizontal="right" vertical="center"/>
    </xf>
    <xf numFmtId="0" fontId="66" fillId="26" borderId="54" xfId="58" applyNumberFormat="1" applyFont="1" applyFill="1" applyBorder="1" applyAlignment="1" applyProtection="1">
      <alignment horizontal="right" vertical="center"/>
    </xf>
    <xf numFmtId="0" fontId="66" fillId="26" borderId="186" xfId="58" applyNumberFormat="1" applyFont="1" applyFill="1" applyBorder="1" applyAlignment="1" applyProtection="1">
      <alignment horizontal="right" vertical="center"/>
    </xf>
    <xf numFmtId="0" fontId="97" fillId="26" borderId="35" xfId="58" applyFont="1" applyFill="1" applyBorder="1" applyAlignment="1" applyProtection="1">
      <alignment horizontal="center"/>
    </xf>
    <xf numFmtId="0" fontId="97" fillId="26" borderId="36" xfId="58" applyFont="1" applyFill="1" applyBorder="1" applyAlignment="1" applyProtection="1">
      <alignment horizontal="center"/>
    </xf>
    <xf numFmtId="0" fontId="97" fillId="26" borderId="52" xfId="58" applyFont="1" applyFill="1" applyBorder="1" applyAlignment="1" applyProtection="1">
      <alignment horizontal="center"/>
    </xf>
    <xf numFmtId="0" fontId="119" fillId="26" borderId="37" xfId="58" applyFont="1" applyFill="1" applyBorder="1" applyAlignment="1" applyProtection="1">
      <alignment horizontal="center" vertical="center"/>
    </xf>
    <xf numFmtId="0" fontId="119" fillId="26" borderId="0" xfId="58" applyFont="1" applyFill="1" applyBorder="1" applyAlignment="1" applyProtection="1">
      <alignment horizontal="center" vertical="center"/>
    </xf>
    <xf numFmtId="0" fontId="119" fillId="26" borderId="38" xfId="58" applyFont="1" applyFill="1" applyBorder="1" applyAlignment="1" applyProtection="1">
      <alignment horizontal="center" vertical="center"/>
    </xf>
    <xf numFmtId="0" fontId="119" fillId="26" borderId="40" xfId="58" applyFont="1" applyFill="1" applyBorder="1" applyAlignment="1" applyProtection="1">
      <alignment horizontal="left" vertical="center" shrinkToFit="1"/>
    </xf>
    <xf numFmtId="0" fontId="119" fillId="26" borderId="41" xfId="58" applyFont="1" applyFill="1" applyBorder="1" applyAlignment="1" applyProtection="1">
      <alignment horizontal="left" vertical="center" shrinkToFit="1"/>
    </xf>
    <xf numFmtId="224" fontId="66" fillId="26" borderId="53" xfId="62" applyNumberFormat="1" applyFont="1" applyFill="1" applyBorder="1" applyAlignment="1" applyProtection="1">
      <alignment horizontal="left" vertical="center"/>
    </xf>
    <xf numFmtId="224" fontId="66" fillId="26" borderId="54" xfId="62" applyNumberFormat="1" applyFont="1" applyFill="1" applyBorder="1" applyAlignment="1" applyProtection="1">
      <alignment horizontal="left" vertical="center"/>
    </xf>
    <xf numFmtId="0" fontId="267" fillId="35" borderId="53" xfId="58" applyFont="1" applyFill="1" applyBorder="1" applyAlignment="1" applyProtection="1">
      <alignment horizontal="center" vertical="center"/>
      <protection locked="0"/>
    </xf>
    <xf numFmtId="0" fontId="267" fillId="35" borderId="59" xfId="58" applyFont="1" applyFill="1" applyBorder="1" applyAlignment="1" applyProtection="1">
      <alignment horizontal="center" vertical="center"/>
      <protection locked="0"/>
    </xf>
    <xf numFmtId="0" fontId="107" fillId="27" borderId="53" xfId="58" applyFont="1" applyFill="1" applyBorder="1" applyAlignment="1" applyProtection="1">
      <alignment horizontal="center" vertical="center" wrapText="1"/>
    </xf>
    <xf numFmtId="0" fontId="107" fillId="27" borderId="54" xfId="58" applyFont="1" applyFill="1" applyBorder="1" applyAlignment="1" applyProtection="1">
      <alignment horizontal="center" vertical="center"/>
    </xf>
    <xf numFmtId="0" fontId="107" fillId="27" borderId="59" xfId="58" applyFont="1" applyFill="1" applyBorder="1" applyAlignment="1" applyProtection="1">
      <alignment horizontal="center" vertical="center"/>
    </xf>
    <xf numFmtId="0" fontId="107" fillId="27" borderId="39" xfId="58" applyFont="1" applyFill="1" applyBorder="1" applyAlignment="1" applyProtection="1">
      <alignment horizontal="center" vertical="center" wrapText="1"/>
    </xf>
    <xf numFmtId="0" fontId="107" fillId="27" borderId="40" xfId="58" applyFont="1" applyFill="1" applyBorder="1" applyAlignment="1" applyProtection="1">
      <alignment horizontal="center" vertical="center"/>
    </xf>
    <xf numFmtId="0" fontId="107" fillId="27" borderId="41" xfId="58" applyFont="1" applyFill="1" applyBorder="1" applyAlignment="1" applyProtection="1">
      <alignment horizontal="center" vertical="center"/>
    </xf>
    <xf numFmtId="2" fontId="66" fillId="26" borderId="63" xfId="58" applyNumberFormat="1" applyFont="1" applyFill="1" applyBorder="1" applyAlignment="1" applyProtection="1">
      <alignment horizontal="center" vertical="center" wrapText="1"/>
    </xf>
    <xf numFmtId="2" fontId="66" fillId="26" borderId="64" xfId="58" applyNumberFormat="1" applyFont="1" applyFill="1" applyBorder="1" applyAlignment="1" applyProtection="1">
      <alignment horizontal="center" vertical="center" wrapText="1"/>
    </xf>
    <xf numFmtId="0" fontId="67" fillId="26" borderId="0" xfId="58" quotePrefix="1" applyFont="1" applyFill="1" applyAlignment="1" applyProtection="1">
      <alignment vertical="center"/>
    </xf>
    <xf numFmtId="0" fontId="67" fillId="26" borderId="0" xfId="58" applyFont="1" applyFill="1" applyAlignment="1" applyProtection="1">
      <alignment vertical="center"/>
    </xf>
    <xf numFmtId="0" fontId="107" fillId="27" borderId="53" xfId="58" applyNumberFormat="1" applyFont="1" applyFill="1" applyBorder="1" applyAlignment="1" applyProtection="1">
      <alignment horizontal="center" vertical="center"/>
    </xf>
    <xf numFmtId="0" fontId="107" fillId="27" borderId="54" xfId="58" applyNumberFormat="1" applyFont="1" applyFill="1" applyBorder="1" applyAlignment="1" applyProtection="1">
      <alignment horizontal="center" vertical="center"/>
    </xf>
    <xf numFmtId="0" fontId="107" fillId="27" borderId="59" xfId="58" applyNumberFormat="1" applyFont="1" applyFill="1" applyBorder="1" applyAlignment="1" applyProtection="1">
      <alignment horizontal="center" vertical="center"/>
    </xf>
    <xf numFmtId="0" fontId="107" fillId="27" borderId="53" xfId="58" applyFont="1" applyFill="1" applyBorder="1" applyAlignment="1" applyProtection="1">
      <alignment horizontal="center" vertical="center"/>
    </xf>
    <xf numFmtId="224" fontId="66" fillId="26" borderId="35" xfId="62" applyNumberFormat="1" applyFont="1" applyFill="1" applyBorder="1" applyAlignment="1" applyProtection="1">
      <alignment horizontal="left" vertical="center"/>
    </xf>
    <xf numFmtId="224" fontId="66" fillId="26" borderId="36" xfId="62" applyNumberFormat="1" applyFont="1" applyFill="1" applyBorder="1" applyAlignment="1" applyProtection="1">
      <alignment horizontal="left" vertical="center"/>
    </xf>
    <xf numFmtId="0" fontId="105" fillId="26" borderId="36" xfId="58" applyFont="1" applyFill="1" applyBorder="1" applyAlignment="1" applyProtection="1">
      <alignment horizontal="center" vertical="center"/>
    </xf>
    <xf numFmtId="0" fontId="105" fillId="26" borderId="52" xfId="58" applyFont="1" applyFill="1" applyBorder="1" applyAlignment="1" applyProtection="1">
      <alignment horizontal="center" vertical="center"/>
    </xf>
    <xf numFmtId="0" fontId="107" fillId="0" borderId="81" xfId="58" applyFont="1" applyBorder="1" applyAlignment="1" applyProtection="1">
      <alignment horizontal="center"/>
    </xf>
    <xf numFmtId="251" fontId="67" fillId="26" borderId="81" xfId="58" applyNumberFormat="1" applyFont="1" applyFill="1" applyBorder="1" applyAlignment="1" applyProtection="1">
      <alignment horizontal="center" vertical="center"/>
    </xf>
    <xf numFmtId="0" fontId="67" fillId="32" borderId="67" xfId="41" applyNumberFormat="1" applyFont="1" applyFill="1" applyBorder="1" applyAlignment="1" applyProtection="1">
      <alignment horizontal="right" vertical="center"/>
    </xf>
    <xf numFmtId="0" fontId="67" fillId="32" borderId="81" xfId="41" applyNumberFormat="1" applyFont="1" applyFill="1" applyBorder="1" applyAlignment="1" applyProtection="1">
      <alignment horizontal="right" vertical="center"/>
    </xf>
    <xf numFmtId="0" fontId="67" fillId="32" borderId="92" xfId="41" applyNumberFormat="1" applyFont="1" applyFill="1" applyBorder="1" applyAlignment="1" applyProtection="1">
      <alignment horizontal="right" vertical="center"/>
    </xf>
    <xf numFmtId="0" fontId="101" fillId="0" borderId="16" xfId="58" applyFont="1" applyFill="1" applyBorder="1" applyAlignment="1" applyProtection="1">
      <alignment horizontal="left" vertical="center"/>
    </xf>
    <xf numFmtId="0" fontId="101" fillId="0" borderId="17" xfId="58" applyFont="1" applyFill="1" applyBorder="1" applyAlignment="1" applyProtection="1">
      <alignment horizontal="left" vertical="center"/>
    </xf>
    <xf numFmtId="250" fontId="107" fillId="32" borderId="15" xfId="63" applyNumberFormat="1" applyFont="1" applyFill="1" applyBorder="1" applyAlignment="1" applyProtection="1">
      <alignment vertical="center"/>
    </xf>
    <xf numFmtId="250" fontId="107" fillId="32" borderId="10" xfId="63" applyNumberFormat="1" applyFont="1" applyFill="1" applyBorder="1" applyAlignment="1" applyProtection="1">
      <alignment vertical="center"/>
    </xf>
    <xf numFmtId="250" fontId="107" fillId="32" borderId="105" xfId="63" applyNumberFormat="1" applyFont="1" applyFill="1" applyBorder="1" applyAlignment="1" applyProtection="1">
      <alignment vertical="center"/>
    </xf>
    <xf numFmtId="0" fontId="101" fillId="0" borderId="10" xfId="58" applyFont="1" applyFill="1" applyBorder="1" applyAlignment="1" applyProtection="1">
      <alignment horizontal="left" vertical="center"/>
    </xf>
    <xf numFmtId="0" fontId="101" fillId="0" borderId="12" xfId="58" applyFont="1" applyFill="1" applyBorder="1" applyAlignment="1" applyProtection="1">
      <alignment horizontal="left" vertical="center"/>
    </xf>
    <xf numFmtId="8" fontId="107" fillId="32" borderId="15" xfId="63" applyNumberFormat="1" applyFont="1" applyFill="1" applyBorder="1" applyAlignment="1" applyProtection="1">
      <alignment vertical="center"/>
    </xf>
    <xf numFmtId="8" fontId="107" fillId="32" borderId="10" xfId="63" applyNumberFormat="1" applyFont="1" applyFill="1" applyBorder="1" applyAlignment="1" applyProtection="1">
      <alignment vertical="center"/>
    </xf>
    <xf numFmtId="8" fontId="107" fillId="32" borderId="105" xfId="63" applyNumberFormat="1" applyFont="1" applyFill="1" applyBorder="1" applyAlignment="1" applyProtection="1">
      <alignment vertical="center"/>
    </xf>
    <xf numFmtId="0" fontId="101" fillId="0" borderId="40" xfId="58" applyFont="1" applyFill="1" applyBorder="1" applyAlignment="1" applyProtection="1">
      <alignment horizontal="left" vertical="center"/>
    </xf>
    <xf numFmtId="0" fontId="101" fillId="0" borderId="117" xfId="58" applyFont="1" applyFill="1" applyBorder="1" applyAlignment="1" applyProtection="1">
      <alignment horizontal="left" vertical="center"/>
    </xf>
    <xf numFmtId="250" fontId="118" fillId="32" borderId="15" xfId="63" applyNumberFormat="1" applyFont="1" applyFill="1" applyBorder="1" applyAlignment="1" applyProtection="1">
      <alignment vertical="center"/>
    </xf>
    <xf numFmtId="250" fontId="118" fillId="32" borderId="10" xfId="63" applyNumberFormat="1" applyFont="1" applyFill="1" applyBorder="1" applyAlignment="1" applyProtection="1">
      <alignment vertical="center"/>
    </xf>
    <xf numFmtId="250" fontId="118" fillId="32" borderId="105" xfId="63" applyNumberFormat="1" applyFont="1" applyFill="1" applyBorder="1" applyAlignment="1" applyProtection="1">
      <alignment vertical="center"/>
    </xf>
    <xf numFmtId="0" fontId="107" fillId="26" borderId="36" xfId="58" applyFont="1" applyFill="1" applyBorder="1" applyAlignment="1" applyProtection="1">
      <alignment horizontal="center" vertical="center"/>
    </xf>
    <xf numFmtId="251" fontId="67" fillId="32" borderId="36" xfId="58" applyNumberFormat="1" applyFont="1" applyFill="1" applyBorder="1" applyAlignment="1" applyProtection="1">
      <alignment horizontal="center" vertical="center"/>
    </xf>
    <xf numFmtId="0" fontId="67" fillId="32" borderId="116" xfId="58" applyFont="1" applyFill="1" applyBorder="1" applyAlignment="1" applyProtection="1">
      <alignment horizontal="right" vertical="center"/>
    </xf>
    <xf numFmtId="0" fontId="67" fillId="32" borderId="36" xfId="58" applyFont="1" applyFill="1" applyBorder="1" applyAlignment="1" applyProtection="1">
      <alignment horizontal="right" vertical="center"/>
    </xf>
    <xf numFmtId="0" fontId="67" fillId="32" borderId="52" xfId="58" applyFont="1" applyFill="1" applyBorder="1" applyAlignment="1" applyProtection="1">
      <alignment horizontal="right" vertical="center"/>
    </xf>
    <xf numFmtId="0" fontId="67" fillId="0" borderId="0" xfId="58" applyFont="1" applyAlignment="1" applyProtection="1"/>
    <xf numFmtId="0" fontId="101" fillId="0" borderId="10" xfId="58" applyFont="1" applyBorder="1" applyAlignment="1" applyProtection="1">
      <alignment horizontal="left"/>
    </xf>
    <xf numFmtId="0" fontId="101" fillId="0" borderId="12" xfId="58" applyFont="1" applyBorder="1" applyAlignment="1" applyProtection="1">
      <alignment horizontal="left"/>
    </xf>
    <xf numFmtId="250" fontId="107" fillId="32" borderId="15" xfId="63" applyNumberFormat="1" applyFont="1" applyFill="1" applyBorder="1" applyAlignment="1" applyProtection="1">
      <alignment horizontal="right" vertical="center"/>
    </xf>
    <xf numFmtId="250" fontId="107" fillId="32" borderId="10" xfId="63" applyNumberFormat="1" applyFont="1" applyFill="1" applyBorder="1" applyAlignment="1" applyProtection="1">
      <alignment horizontal="right" vertical="center"/>
    </xf>
    <xf numFmtId="250" fontId="107" fillId="32" borderId="105" xfId="63" applyNumberFormat="1" applyFont="1" applyFill="1" applyBorder="1" applyAlignment="1" applyProtection="1">
      <alignment horizontal="right" vertical="center"/>
    </xf>
    <xf numFmtId="8" fontId="107" fillId="32" borderId="15" xfId="63" applyNumberFormat="1" applyFont="1" applyFill="1" applyBorder="1" applyAlignment="1" applyProtection="1">
      <alignment horizontal="right" vertical="center"/>
    </xf>
    <xf numFmtId="8" fontId="107" fillId="32" borderId="10" xfId="63" applyNumberFormat="1" applyFont="1" applyFill="1" applyBorder="1" applyAlignment="1" applyProtection="1">
      <alignment horizontal="right" vertical="center"/>
    </xf>
    <xf numFmtId="8" fontId="107" fillId="32" borderId="105" xfId="63" applyNumberFormat="1" applyFont="1" applyFill="1" applyBorder="1" applyAlignment="1" applyProtection="1">
      <alignment horizontal="right" vertical="center"/>
    </xf>
    <xf numFmtId="0" fontId="101" fillId="0" borderId="82" xfId="58" applyFont="1" applyBorder="1" applyAlignment="1" applyProtection="1">
      <alignment horizontal="left"/>
    </xf>
    <xf numFmtId="0" fontId="101" fillId="0" borderId="68" xfId="58" applyFont="1" applyBorder="1" applyAlignment="1" applyProtection="1">
      <alignment horizontal="left"/>
    </xf>
    <xf numFmtId="250" fontId="118" fillId="32" borderId="86" xfId="63" applyNumberFormat="1" applyFont="1" applyFill="1" applyBorder="1" applyAlignment="1" applyProtection="1">
      <alignment horizontal="right" vertical="center"/>
    </xf>
    <xf numFmtId="250" fontId="118" fillId="32" borderId="82" xfId="63" applyNumberFormat="1" applyFont="1" applyFill="1" applyBorder="1" applyAlignment="1" applyProtection="1">
      <alignment horizontal="right" vertical="center"/>
    </xf>
    <xf numFmtId="250" fontId="118" fillId="32" borderId="91" xfId="63" applyNumberFormat="1" applyFont="1" applyFill="1" applyBorder="1" applyAlignment="1" applyProtection="1">
      <alignment horizontal="right" vertical="center"/>
    </xf>
    <xf numFmtId="0" fontId="86" fillId="26" borderId="53" xfId="58" applyFont="1" applyFill="1" applyBorder="1" applyAlignment="1" applyProtection="1">
      <alignment horizontal="left" vertical="center"/>
    </xf>
    <xf numFmtId="0" fontId="86" fillId="26" borderId="54" xfId="58" applyFont="1" applyFill="1" applyBorder="1" applyAlignment="1" applyProtection="1">
      <alignment horizontal="left" vertical="center"/>
    </xf>
    <xf numFmtId="0" fontId="86" fillId="26" borderId="59" xfId="58" applyFont="1" applyFill="1" applyBorder="1" applyAlignment="1" applyProtection="1">
      <alignment horizontal="left" vertical="center"/>
    </xf>
    <xf numFmtId="0" fontId="86" fillId="26" borderId="35" xfId="58" applyFont="1" applyFill="1" applyBorder="1" applyAlignment="1" applyProtection="1">
      <alignment horizontal="left" vertical="center"/>
    </xf>
    <xf numFmtId="0" fontId="86" fillId="26" borderId="36" xfId="58" applyFont="1" applyFill="1" applyBorder="1" applyAlignment="1" applyProtection="1">
      <alignment horizontal="left" vertical="center"/>
    </xf>
    <xf numFmtId="0" fontId="86" fillId="26" borderId="52" xfId="58" applyFont="1" applyFill="1" applyBorder="1" applyAlignment="1" applyProtection="1">
      <alignment horizontal="left" vertical="center"/>
    </xf>
    <xf numFmtId="256" fontId="86" fillId="26" borderId="53" xfId="58" applyNumberFormat="1" applyFont="1" applyFill="1" applyBorder="1" applyAlignment="1" applyProtection="1">
      <alignment horizontal="center" vertical="center"/>
      <protection locked="0"/>
    </xf>
    <xf numFmtId="256" fontId="86" fillId="26" borderId="54" xfId="58" applyNumberFormat="1" applyFont="1" applyFill="1" applyBorder="1" applyAlignment="1" applyProtection="1">
      <alignment horizontal="center" vertical="center"/>
      <protection locked="0"/>
    </xf>
    <xf numFmtId="256" fontId="86" fillId="26" borderId="59" xfId="58" applyNumberFormat="1" applyFont="1" applyFill="1" applyBorder="1" applyAlignment="1" applyProtection="1">
      <alignment horizontal="center" vertical="center"/>
      <protection locked="0"/>
    </xf>
    <xf numFmtId="0" fontId="154" fillId="0" borderId="35" xfId="58" applyFont="1" applyFill="1" applyBorder="1" applyAlignment="1" applyProtection="1">
      <alignment horizontal="center" vertical="center"/>
    </xf>
    <xf numFmtId="0" fontId="154" fillId="0" borderId="36" xfId="58" applyFont="1" applyFill="1" applyBorder="1" applyAlignment="1" applyProtection="1">
      <alignment horizontal="center" vertical="center"/>
    </xf>
    <xf numFmtId="0" fontId="154" fillId="0" borderId="52" xfId="58" applyFont="1" applyFill="1" applyBorder="1" applyAlignment="1" applyProtection="1">
      <alignment horizontal="center" vertical="center"/>
    </xf>
    <xf numFmtId="0" fontId="154" fillId="35" borderId="53" xfId="58" applyFont="1" applyFill="1" applyBorder="1" applyAlignment="1" applyProtection="1">
      <alignment horizontal="center" vertical="center"/>
      <protection locked="0"/>
    </xf>
    <xf numFmtId="0" fontId="154" fillId="35" borderId="54" xfId="58" applyFont="1" applyFill="1" applyBorder="1" applyAlignment="1" applyProtection="1">
      <alignment horizontal="center" vertical="center"/>
      <protection locked="0"/>
    </xf>
    <xf numFmtId="0" fontId="244" fillId="35" borderId="59" xfId="58" applyFont="1" applyFill="1" applyBorder="1" applyAlignment="1">
      <alignment horizontal="center" vertical="center"/>
    </xf>
    <xf numFmtId="0" fontId="244" fillId="0" borderId="39" xfId="58" applyFont="1" applyFill="1" applyBorder="1" applyAlignment="1" applyProtection="1">
      <alignment horizontal="center" vertical="center" wrapText="1"/>
    </xf>
    <xf numFmtId="0" fontId="244" fillId="0" borderId="41" xfId="58" applyFont="1" applyFill="1" applyBorder="1" applyAlignment="1" applyProtection="1">
      <alignment horizontal="center" vertical="center" wrapText="1"/>
    </xf>
    <xf numFmtId="0" fontId="88" fillId="0" borderId="128" xfId="58" applyFont="1" applyBorder="1" applyAlignment="1">
      <alignment horizontal="center"/>
    </xf>
    <xf numFmtId="0" fontId="88" fillId="0" borderId="165" xfId="58" applyFont="1" applyBorder="1" applyAlignment="1">
      <alignment horizontal="center"/>
    </xf>
    <xf numFmtId="0" fontId="125" fillId="0" borderId="116" xfId="58" applyFont="1" applyBorder="1" applyAlignment="1">
      <alignment horizontal="center" vertical="center" wrapText="1" shrinkToFit="1"/>
    </xf>
    <xf numFmtId="0" fontId="125" fillId="0" borderId="52" xfId="58" applyFont="1" applyBorder="1" applyAlignment="1">
      <alignment horizontal="center" vertical="center" wrapText="1" shrinkToFit="1"/>
    </xf>
    <xf numFmtId="0" fontId="125" fillId="0" borderId="45" xfId="58" applyFont="1" applyBorder="1" applyAlignment="1">
      <alignment horizontal="center" vertical="center" wrapText="1" shrinkToFit="1"/>
    </xf>
    <xf numFmtId="0" fontId="125" fillId="0" borderId="61" xfId="58" applyFont="1" applyBorder="1" applyAlignment="1">
      <alignment horizontal="center" vertical="center" wrapText="1" shrinkToFit="1"/>
    </xf>
    <xf numFmtId="0" fontId="96" fillId="32" borderId="19" xfId="62" applyNumberFormat="1" applyFont="1" applyFill="1" applyBorder="1" applyAlignment="1" applyProtection="1">
      <alignment horizontal="left" vertical="center"/>
    </xf>
    <xf numFmtId="0" fontId="96" fillId="32" borderId="218" xfId="62" applyNumberFormat="1" applyFont="1" applyFill="1" applyBorder="1" applyAlignment="1" applyProtection="1">
      <alignment horizontal="left" vertical="center"/>
    </xf>
    <xf numFmtId="0" fontId="96" fillId="32" borderId="20" xfId="62" applyNumberFormat="1" applyFont="1" applyFill="1" applyBorder="1" applyAlignment="1" applyProtection="1">
      <alignment horizontal="left" vertical="center"/>
    </xf>
    <xf numFmtId="0" fontId="96" fillId="32" borderId="212" xfId="62" applyNumberFormat="1" applyFont="1" applyFill="1" applyBorder="1" applyAlignment="1" applyProtection="1">
      <alignment horizontal="left" vertical="center"/>
    </xf>
    <xf numFmtId="0" fontId="269" fillId="26" borderId="67" xfId="58" applyFont="1" applyFill="1" applyBorder="1" applyAlignment="1">
      <alignment horizontal="right" vertical="center"/>
    </xf>
    <xf numFmtId="0" fontId="269" fillId="26" borderId="81" xfId="58" applyFont="1" applyFill="1" applyBorder="1" applyAlignment="1">
      <alignment horizontal="right" vertical="center"/>
    </xf>
    <xf numFmtId="0" fontId="269" fillId="26" borderId="54" xfId="58" applyFont="1" applyFill="1" applyBorder="1" applyAlignment="1">
      <alignment vertical="center"/>
    </xf>
    <xf numFmtId="0" fontId="269" fillId="26" borderId="59" xfId="58" applyFont="1" applyFill="1" applyBorder="1" applyAlignment="1">
      <alignment vertical="center"/>
    </xf>
    <xf numFmtId="0" fontId="270" fillId="26" borderId="54" xfId="58" applyFont="1" applyFill="1" applyBorder="1" applyAlignment="1">
      <alignment horizontal="center" vertical="center" shrinkToFit="1"/>
    </xf>
    <xf numFmtId="0" fontId="270" fillId="26" borderId="59" xfId="58" applyFont="1" applyFill="1" applyBorder="1" applyAlignment="1">
      <alignment horizontal="center" vertical="center" shrinkToFit="1"/>
    </xf>
    <xf numFmtId="0" fontId="88" fillId="27" borderId="53" xfId="58" applyFont="1" applyFill="1" applyBorder="1" applyAlignment="1">
      <alignment horizontal="center" vertical="center"/>
    </xf>
    <xf numFmtId="0" fontId="88" fillId="27" borderId="54" xfId="58" applyFont="1" applyFill="1" applyBorder="1" applyAlignment="1">
      <alignment horizontal="center" vertical="center"/>
    </xf>
    <xf numFmtId="6" fontId="88" fillId="35" borderId="54" xfId="62" applyNumberFormat="1" applyFont="1" applyFill="1" applyBorder="1" applyAlignment="1">
      <alignment horizontal="center" vertical="center"/>
    </xf>
    <xf numFmtId="6" fontId="88" fillId="35" borderId="59" xfId="62" applyNumberFormat="1" applyFont="1" applyFill="1" applyBorder="1" applyAlignment="1">
      <alignment horizontal="center" vertical="center"/>
    </xf>
    <xf numFmtId="0" fontId="125" fillId="26" borderId="37" xfId="58" applyFont="1" applyFill="1" applyBorder="1" applyAlignment="1">
      <alignment horizontal="center"/>
    </xf>
    <xf numFmtId="0" fontId="125" fillId="26" borderId="0" xfId="58" applyFont="1" applyFill="1" applyBorder="1" applyAlignment="1">
      <alignment horizontal="center"/>
    </xf>
    <xf numFmtId="0" fontId="125" fillId="26" borderId="38" xfId="58" applyFont="1" applyFill="1" applyBorder="1" applyAlignment="1">
      <alignment horizontal="center"/>
    </xf>
    <xf numFmtId="0" fontId="96" fillId="26" borderId="37" xfId="58" applyFont="1" applyFill="1" applyBorder="1" applyAlignment="1">
      <alignment horizontal="center"/>
    </xf>
    <xf numFmtId="0" fontId="96" fillId="26" borderId="0" xfId="58" applyFont="1" applyFill="1" applyBorder="1" applyAlignment="1">
      <alignment horizontal="center"/>
    </xf>
    <xf numFmtId="0" fontId="96" fillId="26" borderId="38" xfId="58" applyFont="1" applyFill="1" applyBorder="1" applyAlignment="1">
      <alignment horizontal="center"/>
    </xf>
    <xf numFmtId="224" fontId="125" fillId="32" borderId="80" xfId="62" applyNumberFormat="1" applyFont="1" applyFill="1" applyBorder="1" applyAlignment="1" applyProtection="1">
      <alignment horizontal="left" vertical="center"/>
    </xf>
    <xf numFmtId="224" fontId="125" fillId="32" borderId="82" xfId="62" applyNumberFormat="1" applyFont="1" applyFill="1" applyBorder="1" applyAlignment="1" applyProtection="1">
      <alignment horizontal="left" vertical="center"/>
    </xf>
    <xf numFmtId="0" fontId="185" fillId="26" borderId="210" xfId="58" applyFont="1" applyFill="1" applyBorder="1" applyAlignment="1">
      <alignment horizontal="center" vertical="center"/>
    </xf>
    <xf numFmtId="0" fontId="96" fillId="32" borderId="88" xfId="62" applyNumberFormat="1" applyFont="1" applyFill="1" applyBorder="1" applyAlignment="1" applyProtection="1">
      <alignment horizontal="left" vertical="center"/>
    </xf>
    <xf numFmtId="0" fontId="96" fillId="32" borderId="206" xfId="62" applyNumberFormat="1" applyFont="1" applyFill="1" applyBorder="1" applyAlignment="1" applyProtection="1">
      <alignment horizontal="left" vertical="center"/>
    </xf>
    <xf numFmtId="0" fontId="96" fillId="26" borderId="37" xfId="58" applyFont="1" applyFill="1" applyBorder="1" applyAlignment="1">
      <alignment horizontal="left" wrapText="1" shrinkToFit="1"/>
    </xf>
    <xf numFmtId="0" fontId="96" fillId="0" borderId="0" xfId="58" applyFont="1" applyBorder="1" applyAlignment="1">
      <alignment horizontal="left" wrapText="1" shrinkToFit="1"/>
    </xf>
    <xf numFmtId="0" fontId="96" fillId="0" borderId="38" xfId="58" applyFont="1" applyBorder="1" applyAlignment="1">
      <alignment horizontal="left" wrapText="1" shrinkToFit="1"/>
    </xf>
    <xf numFmtId="0" fontId="96" fillId="0" borderId="37" xfId="58" applyFont="1" applyBorder="1" applyAlignment="1">
      <alignment horizontal="left" wrapText="1" shrinkToFit="1"/>
    </xf>
    <xf numFmtId="0" fontId="96" fillId="0" borderId="39" xfId="58" applyFont="1" applyBorder="1" applyAlignment="1">
      <alignment horizontal="left" wrapText="1" shrinkToFit="1"/>
    </xf>
    <xf numFmtId="0" fontId="96" fillId="0" borderId="40" xfId="58" applyFont="1" applyBorder="1" applyAlignment="1">
      <alignment horizontal="left" wrapText="1" shrinkToFit="1"/>
    </xf>
    <xf numFmtId="0" fontId="96" fillId="0" borderId="41" xfId="58" applyFont="1" applyBorder="1" applyAlignment="1">
      <alignment horizontal="left" wrapText="1" shrinkToFit="1"/>
    </xf>
    <xf numFmtId="224" fontId="125" fillId="32" borderId="79" xfId="62" applyNumberFormat="1" applyFont="1" applyFill="1" applyBorder="1" applyAlignment="1" applyProtection="1">
      <alignment horizontal="left" vertical="center"/>
    </xf>
    <xf numFmtId="224" fontId="125" fillId="32" borderId="16" xfId="62" applyNumberFormat="1" applyFont="1" applyFill="1" applyBorder="1" applyAlignment="1" applyProtection="1">
      <alignment horizontal="left" vertical="center"/>
    </xf>
    <xf numFmtId="0" fontId="274" fillId="26" borderId="35" xfId="58" applyFont="1" applyFill="1" applyBorder="1" applyAlignment="1" applyProtection="1">
      <alignment horizontal="center" vertical="center"/>
    </xf>
    <xf numFmtId="0" fontId="274" fillId="26" borderId="36" xfId="58" applyFont="1" applyFill="1" applyBorder="1" applyAlignment="1" applyProtection="1">
      <alignment horizontal="center" vertical="center"/>
    </xf>
    <xf numFmtId="0" fontId="274" fillId="26" borderId="52" xfId="58" applyFont="1" applyFill="1" applyBorder="1" applyAlignment="1" applyProtection="1">
      <alignment horizontal="center" vertical="center"/>
    </xf>
    <xf numFmtId="0" fontId="88" fillId="0" borderId="25" xfId="58" applyFont="1" applyBorder="1" applyAlignment="1">
      <alignment horizontal="left"/>
    </xf>
    <xf numFmtId="0" fontId="88" fillId="0" borderId="48" xfId="58" applyFont="1" applyBorder="1" applyAlignment="1">
      <alignment horizontal="left"/>
    </xf>
    <xf numFmtId="263" fontId="96" fillId="26" borderId="48" xfId="58" applyNumberFormat="1" applyFont="1" applyFill="1" applyBorder="1" applyAlignment="1">
      <alignment horizontal="center" vertical="center" shrinkToFit="1"/>
    </xf>
    <xf numFmtId="0" fontId="96" fillId="32" borderId="48" xfId="41" applyNumberFormat="1" applyFont="1" applyFill="1" applyBorder="1" applyAlignment="1">
      <alignment horizontal="center" vertical="center"/>
    </xf>
    <xf numFmtId="0" fontId="96" fillId="32" borderId="26" xfId="41" applyNumberFormat="1" applyFont="1" applyFill="1" applyBorder="1" applyAlignment="1">
      <alignment horizontal="center" vertical="center"/>
    </xf>
    <xf numFmtId="249" fontId="96" fillId="32" borderId="67" xfId="58" applyNumberFormat="1" applyFont="1" applyFill="1" applyBorder="1" applyAlignment="1">
      <alignment horizontal="center" vertical="center"/>
    </xf>
    <xf numFmtId="249" fontId="96" fillId="32" borderId="176" xfId="58" applyNumberFormat="1" applyFont="1" applyFill="1" applyBorder="1" applyAlignment="1">
      <alignment horizontal="center" vertical="center"/>
    </xf>
    <xf numFmtId="0" fontId="182" fillId="0" borderId="86" xfId="58" applyFont="1" applyFill="1" applyBorder="1" applyAlignment="1" applyProtection="1">
      <alignment horizontal="center" vertical="center"/>
    </xf>
    <xf numFmtId="0" fontId="182" fillId="0" borderId="82" xfId="58" applyFont="1" applyFill="1" applyBorder="1" applyAlignment="1" applyProtection="1">
      <alignment horizontal="center" vertical="center"/>
    </xf>
    <xf numFmtId="0" fontId="182" fillId="0" borderId="91" xfId="58" applyFont="1" applyFill="1" applyBorder="1" applyAlignment="1" applyProtection="1">
      <alignment horizontal="center" vertical="center"/>
    </xf>
    <xf numFmtId="0" fontId="182" fillId="0" borderId="49" xfId="58" applyFont="1" applyBorder="1" applyAlignment="1">
      <alignment horizontal="left"/>
    </xf>
    <xf numFmtId="0" fontId="182" fillId="0" borderId="13" xfId="58" applyFont="1" applyBorder="1" applyAlignment="1">
      <alignment horizontal="left"/>
    </xf>
    <xf numFmtId="250" fontId="88" fillId="32" borderId="13" xfId="63" applyNumberFormat="1" applyFont="1" applyFill="1" applyBorder="1" applyAlignment="1">
      <alignment vertical="center"/>
    </xf>
    <xf numFmtId="250" fontId="88" fillId="32" borderId="29" xfId="63" applyNumberFormat="1" applyFont="1" applyFill="1" applyBorder="1" applyAlignment="1">
      <alignment vertical="center"/>
    </xf>
    <xf numFmtId="0" fontId="182" fillId="0" borderId="15" xfId="58" applyFont="1" applyFill="1" applyBorder="1" applyAlignment="1" applyProtection="1">
      <alignment horizontal="center" vertical="center"/>
    </xf>
    <xf numFmtId="0" fontId="182" fillId="0" borderId="10" xfId="58" applyFont="1" applyFill="1" applyBorder="1" applyAlignment="1" applyProtection="1">
      <alignment horizontal="center" vertical="center"/>
    </xf>
    <xf numFmtId="0" fontId="182" fillId="0" borderId="105" xfId="58" applyFont="1" applyFill="1" applyBorder="1" applyAlignment="1" applyProtection="1">
      <alignment horizontal="center" vertical="center"/>
    </xf>
    <xf numFmtId="0" fontId="182" fillId="0" borderId="49" xfId="58" applyFont="1" applyFill="1" applyBorder="1" applyAlignment="1" applyProtection="1">
      <alignment horizontal="left" vertical="center"/>
    </xf>
    <xf numFmtId="0" fontId="182" fillId="0" borderId="13" xfId="58" applyFont="1" applyFill="1" applyBorder="1" applyAlignment="1" applyProtection="1">
      <alignment horizontal="left" vertical="center"/>
    </xf>
    <xf numFmtId="8" fontId="88" fillId="32" borderId="13" xfId="63" applyNumberFormat="1" applyFont="1" applyFill="1" applyBorder="1" applyAlignment="1">
      <alignment vertical="center"/>
    </xf>
    <xf numFmtId="8" fontId="88" fillId="32" borderId="29" xfId="63" applyNumberFormat="1" applyFont="1" applyFill="1" applyBorder="1" applyAlignment="1">
      <alignment vertical="center"/>
    </xf>
    <xf numFmtId="0" fontId="182" fillId="0" borderId="80" xfId="58" applyFont="1" applyFill="1" applyBorder="1" applyAlignment="1" applyProtection="1">
      <alignment horizontal="left" vertical="center"/>
    </xf>
    <xf numFmtId="0" fontId="182" fillId="0" borderId="82" xfId="58" applyFont="1" applyFill="1" applyBorder="1" applyAlignment="1" applyProtection="1">
      <alignment horizontal="left" vertical="center"/>
    </xf>
    <xf numFmtId="0" fontId="182" fillId="0" borderId="68" xfId="58" applyFont="1" applyFill="1" applyBorder="1" applyAlignment="1" applyProtection="1">
      <alignment horizontal="left" vertical="center"/>
    </xf>
    <xf numFmtId="250" fontId="151" fillId="32" borderId="51" xfId="63" applyNumberFormat="1" applyFont="1" applyFill="1" applyBorder="1" applyAlignment="1">
      <alignment vertical="center"/>
    </xf>
    <xf numFmtId="250" fontId="151" fillId="32" borderId="32" xfId="63" applyNumberFormat="1" applyFont="1" applyFill="1" applyBorder="1" applyAlignment="1">
      <alignment vertical="center"/>
    </xf>
    <xf numFmtId="249" fontId="96" fillId="32" borderId="145" xfId="58" applyNumberFormat="1" applyFont="1" applyFill="1" applyBorder="1" applyAlignment="1">
      <alignment horizontal="center" vertical="center"/>
    </xf>
    <xf numFmtId="249" fontId="96" fillId="32" borderId="168" xfId="58" applyNumberFormat="1" applyFont="1" applyFill="1" applyBorder="1" applyAlignment="1">
      <alignment horizontal="center" vertical="center"/>
    </xf>
    <xf numFmtId="0" fontId="186" fillId="0" borderId="110" xfId="58" applyFont="1" applyFill="1" applyBorder="1" applyAlignment="1" applyProtection="1">
      <alignment horizontal="left" vertical="center"/>
    </xf>
    <xf numFmtId="0" fontId="186" fillId="0" borderId="136" xfId="58" applyFont="1" applyFill="1" applyBorder="1" applyAlignment="1" applyProtection="1">
      <alignment horizontal="left" vertical="center"/>
    </xf>
    <xf numFmtId="0" fontId="186" fillId="0" borderId="188" xfId="58" applyFont="1" applyFill="1" applyBorder="1" applyAlignment="1" applyProtection="1">
      <alignment horizontal="left" vertical="center"/>
    </xf>
    <xf numFmtId="0" fontId="186" fillId="0" borderId="224" xfId="58" applyFont="1" applyFill="1" applyBorder="1" applyAlignment="1" applyProtection="1">
      <alignment horizontal="right" vertical="center"/>
    </xf>
    <xf numFmtId="0" fontId="186" fillId="0" borderId="188" xfId="58" applyFont="1" applyFill="1" applyBorder="1" applyAlignment="1" applyProtection="1">
      <alignment horizontal="right" vertical="center"/>
    </xf>
    <xf numFmtId="0" fontId="186" fillId="0" borderId="136" xfId="58" applyFont="1" applyFill="1" applyBorder="1" applyAlignment="1" applyProtection="1">
      <alignment horizontal="right" vertical="center"/>
    </xf>
    <xf numFmtId="0" fontId="186" fillId="0" borderId="202" xfId="58" applyFont="1" applyFill="1" applyBorder="1" applyAlignment="1" applyProtection="1">
      <alignment horizontal="right" vertical="center"/>
    </xf>
    <xf numFmtId="0" fontId="88" fillId="26" borderId="25" xfId="58" applyFont="1" applyFill="1" applyBorder="1" applyAlignment="1" applyProtection="1">
      <alignment horizontal="left" vertical="center"/>
    </xf>
    <xf numFmtId="0" fontId="88" fillId="26" borderId="48" xfId="58" applyFont="1" applyFill="1" applyBorder="1" applyAlignment="1" applyProtection="1">
      <alignment horizontal="left" vertical="center"/>
    </xf>
    <xf numFmtId="263" fontId="96" fillId="32" borderId="48" xfId="58" applyNumberFormat="1" applyFont="1" applyFill="1" applyBorder="1" applyAlignment="1">
      <alignment horizontal="center" vertical="center"/>
    </xf>
    <xf numFmtId="0" fontId="96" fillId="32" borderId="48" xfId="58" applyNumberFormat="1" applyFont="1" applyFill="1" applyBorder="1" applyAlignment="1">
      <alignment horizontal="center" vertical="center"/>
    </xf>
    <xf numFmtId="0" fontId="96" fillId="32" borderId="26" xfId="58" applyNumberFormat="1" applyFont="1" applyFill="1" applyBorder="1" applyAlignment="1">
      <alignment horizontal="center" vertical="center"/>
    </xf>
    <xf numFmtId="0" fontId="182" fillId="0" borderId="50" xfId="58" applyFont="1" applyBorder="1" applyAlignment="1">
      <alignment horizontal="left"/>
    </xf>
    <xf numFmtId="0" fontId="182" fillId="0" borderId="51" xfId="58" applyFont="1" applyBorder="1" applyAlignment="1">
      <alignment horizontal="left"/>
    </xf>
    <xf numFmtId="250" fontId="88" fillId="32" borderId="51" xfId="63" applyNumberFormat="1" applyFont="1" applyFill="1" applyBorder="1" applyAlignment="1">
      <alignment vertical="center"/>
    </xf>
    <xf numFmtId="250" fontId="88" fillId="32" borderId="32" xfId="63" applyNumberFormat="1" applyFont="1" applyFill="1" applyBorder="1" applyAlignment="1">
      <alignment vertical="center"/>
    </xf>
    <xf numFmtId="0" fontId="274" fillId="26" borderId="53" xfId="58" applyFont="1" applyFill="1" applyBorder="1" applyAlignment="1" applyProtection="1">
      <alignment horizontal="center" vertical="center"/>
    </xf>
    <xf numFmtId="0" fontId="274" fillId="26" borderId="54" xfId="58" applyFont="1" applyFill="1" applyBorder="1" applyAlignment="1" applyProtection="1">
      <alignment horizontal="center" vertical="center"/>
    </xf>
    <xf numFmtId="0" fontId="274" fillId="26" borderId="59" xfId="58" applyFont="1" applyFill="1" applyBorder="1" applyAlignment="1" applyProtection="1">
      <alignment horizontal="center" vertical="center"/>
    </xf>
    <xf numFmtId="0" fontId="96" fillId="0" borderId="193" xfId="58" applyFont="1" applyFill="1" applyBorder="1" applyAlignment="1">
      <alignment horizontal="left" vertical="center"/>
    </xf>
    <xf numFmtId="0" fontId="96" fillId="0" borderId="211" xfId="58" applyFont="1" applyFill="1" applyBorder="1" applyAlignment="1">
      <alignment horizontal="left" vertical="center"/>
    </xf>
    <xf numFmtId="0" fontId="96" fillId="0" borderId="28" xfId="58" applyFont="1" applyFill="1" applyBorder="1" applyAlignment="1">
      <alignment horizontal="left" vertical="center"/>
    </xf>
    <xf numFmtId="44" fontId="95" fillId="32" borderId="225" xfId="62" applyFont="1" applyFill="1" applyBorder="1" applyAlignment="1">
      <alignment horizontal="right" vertical="center"/>
    </xf>
    <xf numFmtId="44" fontId="95" fillId="32" borderId="28" xfId="62" applyFont="1" applyFill="1" applyBorder="1" applyAlignment="1">
      <alignment horizontal="right" vertical="center"/>
    </xf>
    <xf numFmtId="6" fontId="95" fillId="32" borderId="225" xfId="62" applyNumberFormat="1" applyFont="1" applyFill="1" applyBorder="1" applyAlignment="1">
      <alignment horizontal="right" vertical="center"/>
    </xf>
    <xf numFmtId="44" fontId="95" fillId="32" borderId="211" xfId="62" applyFont="1" applyFill="1" applyBorder="1" applyAlignment="1">
      <alignment horizontal="right" vertical="center"/>
    </xf>
    <xf numFmtId="44" fontId="95" fillId="32" borderId="212" xfId="62" applyFont="1" applyFill="1" applyBorder="1" applyAlignment="1">
      <alignment horizontal="right" vertical="center"/>
    </xf>
    <xf numFmtId="275" fontId="95" fillId="32" borderId="225" xfId="58" applyNumberFormat="1" applyFont="1" applyFill="1" applyBorder="1" applyAlignment="1">
      <alignment horizontal="right" vertical="center"/>
    </xf>
    <xf numFmtId="275" fontId="95" fillId="32" borderId="28" xfId="58" applyNumberFormat="1" applyFont="1" applyFill="1" applyBorder="1" applyAlignment="1">
      <alignment horizontal="right" vertical="center"/>
    </xf>
    <xf numFmtId="275" fontId="95" fillId="32" borderId="211" xfId="58" applyNumberFormat="1" applyFont="1" applyFill="1" applyBorder="1" applyAlignment="1">
      <alignment horizontal="right" vertical="center"/>
    </xf>
    <xf numFmtId="275" fontId="95" fillId="32" borderId="212" xfId="58" applyNumberFormat="1" applyFont="1" applyFill="1" applyBorder="1" applyAlignment="1">
      <alignment horizontal="right" vertical="center"/>
    </xf>
    <xf numFmtId="0" fontId="186" fillId="0" borderId="35" xfId="58" applyFont="1" applyFill="1" applyBorder="1" applyAlignment="1" applyProtection="1">
      <alignment horizontal="left" vertical="center"/>
    </xf>
    <xf numFmtId="0" fontId="186" fillId="0" borderId="36" xfId="58" applyFont="1" applyFill="1" applyBorder="1" applyAlignment="1" applyProtection="1">
      <alignment horizontal="left" vertical="center"/>
    </xf>
    <xf numFmtId="0" fontId="186" fillId="0" borderId="52" xfId="58" applyFont="1" applyFill="1" applyBorder="1" applyAlignment="1" applyProtection="1">
      <alignment horizontal="left" vertical="center"/>
    </xf>
    <xf numFmtId="254" fontId="95" fillId="26" borderId="37" xfId="58" applyNumberFormat="1" applyFont="1" applyFill="1" applyBorder="1" applyAlignment="1">
      <alignment horizontal="left" vertical="center"/>
    </xf>
    <xf numFmtId="254" fontId="95" fillId="26" borderId="0" xfId="58" applyNumberFormat="1" applyFont="1" applyFill="1" applyBorder="1" applyAlignment="1">
      <alignment horizontal="left" vertical="center"/>
    </xf>
    <xf numFmtId="254" fontId="95" fillId="26" borderId="38" xfId="58" applyNumberFormat="1" applyFont="1" applyFill="1" applyBorder="1" applyAlignment="1">
      <alignment horizontal="left" vertical="center"/>
    </xf>
    <xf numFmtId="255" fontId="95" fillId="26" borderId="39" xfId="58" applyNumberFormat="1" applyFont="1" applyFill="1" applyBorder="1" applyAlignment="1">
      <alignment horizontal="left" vertical="center"/>
    </xf>
    <xf numFmtId="255" fontId="95" fillId="26" borderId="40" xfId="58" applyNumberFormat="1" applyFont="1" applyFill="1" applyBorder="1" applyAlignment="1">
      <alignment horizontal="left" vertical="center"/>
    </xf>
    <xf numFmtId="255" fontId="95" fillId="26" borderId="41" xfId="58" applyNumberFormat="1" applyFont="1" applyFill="1" applyBorder="1" applyAlignment="1">
      <alignment horizontal="left" vertical="center"/>
    </xf>
    <xf numFmtId="253" fontId="95" fillId="32" borderId="225" xfId="58" applyNumberFormat="1" applyFont="1" applyFill="1" applyBorder="1" applyAlignment="1">
      <alignment horizontal="right" vertical="center"/>
    </xf>
    <xf numFmtId="253" fontId="95" fillId="32" borderId="28" xfId="58" applyNumberFormat="1" applyFont="1" applyFill="1" applyBorder="1" applyAlignment="1">
      <alignment horizontal="right" vertical="center"/>
    </xf>
    <xf numFmtId="253" fontId="95" fillId="32" borderId="211" xfId="58" applyNumberFormat="1" applyFont="1" applyFill="1" applyBorder="1" applyAlignment="1">
      <alignment horizontal="right" vertical="center"/>
    </xf>
    <xf numFmtId="253" fontId="95" fillId="32" borderId="212" xfId="58" applyNumberFormat="1" applyFont="1" applyFill="1" applyBorder="1" applyAlignment="1">
      <alignment horizontal="right" vertical="center"/>
    </xf>
    <xf numFmtId="0" fontId="96" fillId="0" borderId="194" xfId="58" applyFont="1" applyFill="1" applyBorder="1" applyAlignment="1">
      <alignment horizontal="left" vertical="center"/>
    </xf>
    <xf numFmtId="0" fontId="96" fillId="0" borderId="205" xfId="58" applyFont="1" applyFill="1" applyBorder="1" applyAlignment="1">
      <alignment horizontal="left" vertical="center"/>
    </xf>
    <xf numFmtId="0" fontId="96" fillId="0" borderId="195" xfId="58" applyFont="1" applyFill="1" applyBorder="1" applyAlignment="1">
      <alignment horizontal="left" vertical="center"/>
    </xf>
    <xf numFmtId="253" fontId="95" fillId="32" borderId="226" xfId="58" applyNumberFormat="1" applyFont="1" applyFill="1" applyBorder="1" applyAlignment="1">
      <alignment horizontal="right" vertical="center"/>
    </xf>
    <xf numFmtId="253" fontId="95" fillId="32" borderId="195" xfId="58" applyNumberFormat="1" applyFont="1" applyFill="1" applyBorder="1" applyAlignment="1">
      <alignment horizontal="right" vertical="center"/>
    </xf>
    <xf numFmtId="253" fontId="95" fillId="32" borderId="205" xfId="58" applyNumberFormat="1" applyFont="1" applyFill="1" applyBorder="1" applyAlignment="1">
      <alignment horizontal="right" vertical="center"/>
    </xf>
    <xf numFmtId="253" fontId="95" fillId="32" borderId="206" xfId="58" applyNumberFormat="1" applyFont="1" applyFill="1" applyBorder="1" applyAlignment="1">
      <alignment horizontal="right" vertical="center"/>
    </xf>
    <xf numFmtId="0" fontId="66" fillId="0" borderId="35" xfId="58" applyFont="1" applyBorder="1" applyAlignment="1" applyProtection="1">
      <alignment horizontal="center" vertical="center" wrapText="1"/>
    </xf>
    <xf numFmtId="0" fontId="66" fillId="0" borderId="36" xfId="58" applyFont="1" applyBorder="1" applyAlignment="1" applyProtection="1">
      <alignment horizontal="center" vertical="center" wrapText="1"/>
    </xf>
    <xf numFmtId="0" fontId="66" fillId="0" borderId="52" xfId="58" applyFont="1" applyBorder="1" applyAlignment="1" applyProtection="1">
      <alignment horizontal="center" vertical="center" wrapText="1"/>
    </xf>
    <xf numFmtId="0" fontId="66" fillId="0" borderId="39" xfId="58" applyFont="1" applyBorder="1" applyAlignment="1" applyProtection="1">
      <alignment horizontal="center" vertical="center" wrapText="1"/>
    </xf>
    <xf numFmtId="0" fontId="66" fillId="0" borderId="40" xfId="58" applyFont="1" applyBorder="1" applyAlignment="1" applyProtection="1">
      <alignment horizontal="center" vertical="center" wrapText="1"/>
    </xf>
    <xf numFmtId="0" fontId="66" fillId="0" borderId="41" xfId="58" applyFont="1" applyBorder="1" applyAlignment="1" applyProtection="1">
      <alignment horizontal="center" vertical="center" wrapText="1"/>
    </xf>
    <xf numFmtId="0" fontId="295" fillId="26" borderId="40" xfId="58" applyFont="1" applyFill="1" applyBorder="1" applyAlignment="1">
      <alignment vertical="center" shrinkToFit="1"/>
    </xf>
    <xf numFmtId="0" fontId="295" fillId="26" borderId="53" xfId="58" applyFont="1" applyFill="1" applyBorder="1" applyAlignment="1">
      <alignment horizontal="center" vertical="center" shrinkToFit="1"/>
    </xf>
    <xf numFmtId="0" fontId="295" fillId="26" borderId="54" xfId="58" applyFont="1" applyFill="1" applyBorder="1" applyAlignment="1">
      <alignment horizontal="center" vertical="center" shrinkToFit="1"/>
    </xf>
    <xf numFmtId="0" fontId="295" fillId="26" borderId="59" xfId="58" applyFont="1" applyFill="1" applyBorder="1" applyAlignment="1">
      <alignment horizontal="center" vertical="center" shrinkToFit="1"/>
    </xf>
    <xf numFmtId="0" fontId="67" fillId="26" borderId="81" xfId="58" applyFont="1" applyFill="1" applyBorder="1" applyAlignment="1">
      <alignment horizontal="right" vertical="center"/>
    </xf>
    <xf numFmtId="0" fontId="67" fillId="26" borderId="176" xfId="58" applyFont="1" applyFill="1" applyBorder="1" applyAlignment="1">
      <alignment horizontal="right" vertical="center"/>
    </xf>
    <xf numFmtId="0" fontId="66" fillId="26" borderId="53" xfId="58" applyNumberFormat="1" applyFont="1" applyFill="1" applyBorder="1" applyAlignment="1">
      <alignment horizontal="right" vertical="center"/>
    </xf>
    <xf numFmtId="0" fontId="66" fillId="26" borderId="54" xfId="58" applyNumberFormat="1" applyFont="1" applyFill="1" applyBorder="1" applyAlignment="1">
      <alignment horizontal="right" vertical="center"/>
    </xf>
    <xf numFmtId="0" fontId="66" fillId="26" borderId="186" xfId="58" applyNumberFormat="1" applyFont="1" applyFill="1" applyBorder="1" applyAlignment="1">
      <alignment horizontal="right" vertical="center"/>
    </xf>
    <xf numFmtId="279" fontId="66" fillId="32" borderId="82" xfId="58" applyNumberFormat="1" applyFont="1" applyFill="1" applyBorder="1" applyAlignment="1">
      <alignment horizontal="center" vertical="center"/>
    </xf>
    <xf numFmtId="279" fontId="66" fillId="32" borderId="68" xfId="58" applyNumberFormat="1" applyFont="1" applyFill="1" applyBorder="1" applyAlignment="1">
      <alignment horizontal="center" vertical="center"/>
    </xf>
    <xf numFmtId="280" fontId="66" fillId="26" borderId="80" xfId="58" applyNumberFormat="1" applyFont="1" applyFill="1" applyBorder="1" applyAlignment="1">
      <alignment horizontal="center" vertical="center" shrinkToFit="1"/>
    </xf>
    <xf numFmtId="280" fontId="66" fillId="26" borderId="82" xfId="58" applyNumberFormat="1" applyFont="1" applyFill="1" applyBorder="1" applyAlignment="1">
      <alignment horizontal="center" vertical="center" shrinkToFit="1"/>
    </xf>
    <xf numFmtId="280" fontId="66" fillId="26" borderId="91" xfId="58" applyNumberFormat="1" applyFont="1" applyFill="1" applyBorder="1" applyAlignment="1">
      <alignment horizontal="center" vertical="center" shrinkToFit="1"/>
    </xf>
    <xf numFmtId="224" fontId="67" fillId="32" borderId="35" xfId="62" applyNumberFormat="1" applyFont="1" applyFill="1" applyBorder="1" applyAlignment="1" applyProtection="1">
      <alignment horizontal="left" vertical="center"/>
    </xf>
    <xf numFmtId="224" fontId="67" fillId="32" borderId="36" xfId="62" applyNumberFormat="1" applyFont="1" applyFill="1" applyBorder="1" applyAlignment="1" applyProtection="1">
      <alignment horizontal="left" vertical="center"/>
    </xf>
    <xf numFmtId="0" fontId="67" fillId="32" borderId="37" xfId="58" applyFont="1" applyFill="1" applyBorder="1" applyAlignment="1" applyProtection="1">
      <alignment horizontal="left" vertical="center"/>
      <protection locked="0"/>
    </xf>
    <xf numFmtId="0" fontId="67" fillId="32" borderId="0" xfId="58" applyFont="1" applyFill="1" applyBorder="1" applyAlignment="1" applyProtection="1">
      <alignment horizontal="left" vertical="center"/>
      <protection locked="0"/>
    </xf>
    <xf numFmtId="224" fontId="67" fillId="32" borderId="37" xfId="62" applyNumberFormat="1" applyFont="1" applyFill="1" applyBorder="1" applyAlignment="1" applyProtection="1">
      <alignment horizontal="left" vertical="center"/>
    </xf>
    <xf numFmtId="224" fontId="67" fillId="32" borderId="0" xfId="62" applyNumberFormat="1" applyFont="1" applyFill="1" applyBorder="1" applyAlignment="1" applyProtection="1">
      <alignment horizontal="left" vertical="center"/>
    </xf>
    <xf numFmtId="0" fontId="67" fillId="47" borderId="136" xfId="58" applyFont="1" applyFill="1" applyBorder="1" applyAlignment="1" applyProtection="1">
      <alignment vertical="center"/>
      <protection locked="0"/>
    </xf>
    <xf numFmtId="0" fontId="67" fillId="47" borderId="188" xfId="58" applyFont="1" applyFill="1" applyBorder="1" applyAlignment="1" applyProtection="1">
      <alignment vertical="center"/>
      <protection locked="0"/>
    </xf>
    <xf numFmtId="0" fontId="67" fillId="47" borderId="211" xfId="58" applyFont="1" applyFill="1" applyBorder="1" applyAlignment="1" applyProtection="1">
      <alignment vertical="center"/>
      <protection locked="0"/>
    </xf>
    <xf numFmtId="0" fontId="67" fillId="47" borderId="28" xfId="58" applyFont="1" applyFill="1" applyBorder="1" applyAlignment="1" applyProtection="1">
      <alignment vertical="center"/>
      <protection locked="0"/>
    </xf>
    <xf numFmtId="0" fontId="66" fillId="47" borderId="193" xfId="58" applyNumberFormat="1" applyFont="1" applyFill="1" applyBorder="1" applyAlignment="1" applyProtection="1">
      <alignment vertical="center"/>
      <protection locked="0"/>
    </xf>
    <xf numFmtId="0" fontId="66" fillId="47" borderId="211" xfId="58" applyNumberFormat="1" applyFont="1" applyFill="1" applyBorder="1" applyAlignment="1" applyProtection="1">
      <alignment vertical="center"/>
      <protection locked="0"/>
    </xf>
    <xf numFmtId="0" fontId="66" fillId="47" borderId="212" xfId="58" applyNumberFormat="1" applyFont="1" applyFill="1" applyBorder="1" applyAlignment="1" applyProtection="1">
      <alignment vertical="center"/>
      <protection locked="0"/>
    </xf>
    <xf numFmtId="0" fontId="66" fillId="47" borderId="194" xfId="58" applyNumberFormat="1" applyFont="1" applyFill="1" applyBorder="1" applyAlignment="1" applyProtection="1">
      <alignment vertical="center"/>
      <protection locked="0"/>
    </xf>
    <xf numFmtId="0" fontId="66" fillId="47" borderId="205" xfId="58" applyNumberFormat="1" applyFont="1" applyFill="1" applyBorder="1" applyAlignment="1" applyProtection="1">
      <alignment vertical="center"/>
      <protection locked="0"/>
    </xf>
    <xf numFmtId="0" fontId="66" fillId="47" borderId="206" xfId="58" applyNumberFormat="1" applyFont="1" applyFill="1" applyBorder="1" applyAlignment="1" applyProtection="1">
      <alignment vertical="center"/>
      <protection locked="0"/>
    </xf>
    <xf numFmtId="0" fontId="67" fillId="47" borderId="205" xfId="58" applyFont="1" applyFill="1" applyBorder="1" applyAlignment="1" applyProtection="1">
      <alignment vertical="center"/>
      <protection locked="0"/>
    </xf>
    <xf numFmtId="0" fontId="67" fillId="47" borderId="195" xfId="58" applyFont="1" applyFill="1" applyBorder="1" applyAlignment="1" applyProtection="1">
      <alignment vertical="center"/>
      <protection locked="0"/>
    </xf>
    <xf numFmtId="0" fontId="66" fillId="47" borderId="110" xfId="58" applyNumberFormat="1" applyFont="1" applyFill="1" applyBorder="1" applyAlignment="1" applyProtection="1">
      <alignment vertical="center"/>
      <protection locked="0"/>
    </xf>
    <xf numFmtId="0" fontId="66" fillId="47" borderId="136" xfId="58" applyNumberFormat="1" applyFont="1" applyFill="1" applyBorder="1" applyAlignment="1" applyProtection="1">
      <alignment vertical="center"/>
      <protection locked="0"/>
    </xf>
    <xf numFmtId="0" fontId="66" fillId="47" borderId="202" xfId="58" applyNumberFormat="1" applyFont="1" applyFill="1" applyBorder="1" applyAlignment="1" applyProtection="1">
      <alignment vertical="center"/>
      <protection locked="0"/>
    </xf>
    <xf numFmtId="0" fontId="66" fillId="0" borderId="54" xfId="58" applyFont="1" applyBorder="1" applyAlignment="1" applyProtection="1">
      <alignment horizontal="center" vertical="center"/>
    </xf>
    <xf numFmtId="0" fontId="107" fillId="27" borderId="53" xfId="58" applyNumberFormat="1" applyFont="1" applyFill="1" applyBorder="1" applyAlignment="1" applyProtection="1">
      <alignment vertical="center"/>
      <protection locked="0"/>
    </xf>
    <xf numFmtId="0" fontId="107" fillId="27" borderId="54" xfId="58" applyNumberFormat="1" applyFont="1" applyFill="1" applyBorder="1" applyAlignment="1" applyProtection="1">
      <alignment vertical="center"/>
      <protection locked="0"/>
    </xf>
    <xf numFmtId="0" fontId="107" fillId="27" borderId="59" xfId="58" applyNumberFormat="1" applyFont="1" applyFill="1" applyBorder="1" applyAlignment="1" applyProtection="1">
      <alignment vertical="center"/>
      <protection locked="0"/>
    </xf>
    <xf numFmtId="0" fontId="295" fillId="32" borderId="35" xfId="58" applyFont="1" applyFill="1" applyBorder="1" applyAlignment="1">
      <alignment horizontal="center"/>
    </xf>
    <xf numFmtId="0" fontId="295" fillId="32" borderId="36" xfId="58" applyFont="1" applyFill="1" applyBorder="1" applyAlignment="1">
      <alignment horizontal="center"/>
    </xf>
    <xf numFmtId="0" fontId="295" fillId="32" borderId="52" xfId="58" applyFont="1" applyFill="1" applyBorder="1" applyAlignment="1">
      <alignment horizontal="center"/>
    </xf>
    <xf numFmtId="0" fontId="295" fillId="32" borderId="37" xfId="58" applyFont="1" applyFill="1" applyBorder="1" applyAlignment="1">
      <alignment horizontal="center" vertical="center" wrapText="1"/>
    </xf>
    <xf numFmtId="0" fontId="295" fillId="32" borderId="0" xfId="58" applyFont="1" applyFill="1" applyBorder="1" applyAlignment="1">
      <alignment horizontal="center" vertical="center" wrapText="1"/>
    </xf>
    <xf numFmtId="0" fontId="295" fillId="32" borderId="38" xfId="58" applyFont="1" applyFill="1" applyBorder="1" applyAlignment="1">
      <alignment horizontal="center" vertical="center" wrapText="1"/>
    </xf>
    <xf numFmtId="0" fontId="295" fillId="32" borderId="39" xfId="58" applyFont="1" applyFill="1" applyBorder="1" applyAlignment="1">
      <alignment horizontal="center" vertical="center"/>
    </xf>
    <xf numFmtId="0" fontId="295" fillId="32" borderId="40" xfId="58" applyFont="1" applyFill="1" applyBorder="1" applyAlignment="1">
      <alignment horizontal="center" vertical="center"/>
    </xf>
    <xf numFmtId="0" fontId="295" fillId="32" borderId="41" xfId="58" applyFont="1" applyFill="1" applyBorder="1" applyAlignment="1">
      <alignment horizontal="center" vertical="center"/>
    </xf>
    <xf numFmtId="0" fontId="107" fillId="40" borderId="34" xfId="58" applyFont="1" applyFill="1" applyBorder="1" applyAlignment="1">
      <alignment horizontal="center" vertical="center" wrapText="1"/>
    </xf>
    <xf numFmtId="0" fontId="107" fillId="40" borderId="22" xfId="58" applyFont="1" applyFill="1" applyBorder="1" applyAlignment="1">
      <alignment horizontal="center" vertical="center" wrapText="1"/>
    </xf>
    <xf numFmtId="0" fontId="107" fillId="40" borderId="238" xfId="58" applyFont="1" applyFill="1" applyBorder="1" applyAlignment="1">
      <alignment horizontal="center" vertical="center" wrapText="1"/>
    </xf>
    <xf numFmtId="0" fontId="0" fillId="0" borderId="22" xfId="0" applyBorder="1" applyAlignment="1">
      <alignment horizontal="center" vertical="center"/>
    </xf>
    <xf numFmtId="0" fontId="0" fillId="0" borderId="14" xfId="0" applyBorder="1" applyAlignment="1">
      <alignment horizontal="center" vertical="center"/>
    </xf>
    <xf numFmtId="0" fontId="107" fillId="40" borderId="93" xfId="58" applyFont="1" applyFill="1" applyBorder="1" applyAlignment="1">
      <alignment horizontal="center" vertical="center" wrapText="1"/>
    </xf>
    <xf numFmtId="0" fontId="0" fillId="0" borderId="85" xfId="0" applyBorder="1" applyAlignment="1">
      <alignment horizontal="center" vertical="center"/>
    </xf>
    <xf numFmtId="0" fontId="0" fillId="0" borderId="60" xfId="0" applyBorder="1" applyAlignment="1">
      <alignment horizontal="center" vertical="center"/>
    </xf>
    <xf numFmtId="14" fontId="320" fillId="47" borderId="22" xfId="58" applyNumberFormat="1" applyFont="1" applyFill="1" applyBorder="1" applyAlignment="1">
      <alignment horizontal="center" vertical="center" wrapText="1"/>
    </xf>
    <xf numFmtId="14" fontId="320" fillId="47" borderId="14" xfId="58" applyNumberFormat="1" applyFont="1" applyFill="1" applyBorder="1" applyAlignment="1">
      <alignment horizontal="center" vertical="center" wrapText="1"/>
    </xf>
    <xf numFmtId="14" fontId="320" fillId="40" borderId="22" xfId="58" applyNumberFormat="1" applyFont="1" applyFill="1" applyBorder="1" applyAlignment="1">
      <alignment horizontal="center" vertical="center" wrapText="1"/>
    </xf>
    <xf numFmtId="14" fontId="320" fillId="40" borderId="14" xfId="58" applyNumberFormat="1" applyFont="1" applyFill="1" applyBorder="1" applyAlignment="1">
      <alignment horizontal="center" vertical="center" wrapText="1"/>
    </xf>
    <xf numFmtId="0" fontId="320" fillId="40" borderId="22" xfId="58" applyFont="1" applyFill="1" applyBorder="1" applyAlignment="1">
      <alignment horizontal="center" vertical="center" wrapText="1"/>
    </xf>
    <xf numFmtId="0" fontId="320" fillId="40" borderId="14" xfId="58" applyFont="1" applyFill="1" applyBorder="1" applyAlignment="1">
      <alignment horizontal="center" vertical="center" wrapText="1"/>
    </xf>
    <xf numFmtId="0" fontId="107" fillId="0" borderId="34" xfId="58" applyFont="1" applyBorder="1" applyAlignment="1">
      <alignment horizontal="center" vertical="center" wrapText="1"/>
    </xf>
    <xf numFmtId="0" fontId="107" fillId="0" borderId="22" xfId="58" applyFont="1" applyBorder="1" applyAlignment="1">
      <alignment horizontal="center" vertical="center"/>
    </xf>
    <xf numFmtId="0" fontId="107" fillId="0" borderId="14" xfId="58" applyFont="1" applyBorder="1" applyAlignment="1">
      <alignment horizontal="center" vertical="center"/>
    </xf>
    <xf numFmtId="0" fontId="317" fillId="0" borderId="34" xfId="58" applyFont="1" applyBorder="1" applyAlignment="1">
      <alignment horizontal="center" vertical="center" wrapText="1"/>
    </xf>
    <xf numFmtId="0" fontId="317" fillId="0" borderId="22" xfId="58" applyFont="1" applyBorder="1" applyAlignment="1">
      <alignment horizontal="center" vertical="center"/>
    </xf>
    <xf numFmtId="0" fontId="317" fillId="0" borderId="14" xfId="58" applyFont="1" applyBorder="1" applyAlignment="1">
      <alignment horizontal="center" vertical="center"/>
    </xf>
    <xf numFmtId="0" fontId="107" fillId="47" borderId="34" xfId="58" applyFont="1" applyFill="1" applyBorder="1" applyAlignment="1">
      <alignment horizontal="center" vertical="center" wrapText="1"/>
    </xf>
    <xf numFmtId="0" fontId="107" fillId="47" borderId="22" xfId="58" applyFont="1" applyFill="1" applyBorder="1" applyAlignment="1">
      <alignment horizontal="center" vertical="center" wrapText="1"/>
    </xf>
    <xf numFmtId="2" fontId="26" fillId="40" borderId="15" xfId="58" applyNumberFormat="1" applyFont="1" applyFill="1" applyBorder="1" applyAlignment="1">
      <alignment horizontal="center"/>
    </xf>
    <xf numFmtId="2" fontId="26" fillId="40" borderId="10" xfId="58" applyNumberFormat="1" applyFont="1" applyFill="1" applyBorder="1" applyAlignment="1">
      <alignment horizontal="center"/>
    </xf>
    <xf numFmtId="2" fontId="26" fillId="40" borderId="12" xfId="58" applyNumberFormat="1" applyFont="1" applyFill="1" applyBorder="1" applyAlignment="1">
      <alignment horizontal="center"/>
    </xf>
    <xf numFmtId="2" fontId="26" fillId="40" borderId="86" xfId="58" applyNumberFormat="1" applyFont="1" applyFill="1" applyBorder="1" applyAlignment="1">
      <alignment horizontal="center"/>
    </xf>
    <xf numFmtId="2" fontId="26" fillId="40" borderId="82" xfId="58" applyNumberFormat="1" applyFont="1" applyFill="1" applyBorder="1" applyAlignment="1">
      <alignment horizontal="center"/>
    </xf>
    <xf numFmtId="2" fontId="26" fillId="40" borderId="68" xfId="58" applyNumberFormat="1" applyFont="1" applyFill="1" applyBorder="1" applyAlignment="1">
      <alignment horizontal="center"/>
    </xf>
    <xf numFmtId="0" fontId="24" fillId="29" borderId="0" xfId="58" applyFont="1" applyFill="1" applyAlignment="1">
      <alignment horizontal="center" vertical="center" wrapText="1"/>
    </xf>
    <xf numFmtId="0" fontId="311" fillId="29" borderId="35" xfId="58" applyFont="1" applyFill="1" applyBorder="1" applyAlignment="1">
      <alignment horizontal="center" vertical="center" wrapText="1"/>
    </xf>
    <xf numFmtId="0" fontId="311" fillId="29" borderId="37" xfId="58" applyFont="1" applyFill="1" applyBorder="1" applyAlignment="1">
      <alignment horizontal="center" vertical="center"/>
    </xf>
    <xf numFmtId="0" fontId="311" fillId="29" borderId="39" xfId="58" applyFont="1" applyFill="1" applyBorder="1" applyAlignment="1">
      <alignment horizontal="center" vertical="center"/>
    </xf>
    <xf numFmtId="2" fontId="26" fillId="40" borderId="67" xfId="58" applyNumberFormat="1" applyFont="1" applyFill="1" applyBorder="1" applyAlignment="1">
      <alignment horizontal="center"/>
    </xf>
    <xf numFmtId="2" fontId="26" fillId="40" borderId="81" xfId="58" applyNumberFormat="1" applyFont="1" applyFill="1" applyBorder="1" applyAlignment="1">
      <alignment horizontal="center"/>
    </xf>
    <xf numFmtId="2" fontId="26" fillId="40" borderId="77" xfId="58" applyNumberFormat="1" applyFont="1" applyFill="1" applyBorder="1" applyAlignment="1">
      <alignment horizontal="center"/>
    </xf>
    <xf numFmtId="0" fontId="24" fillId="33" borderId="63" xfId="58" applyFont="1" applyFill="1" applyBorder="1" applyAlignment="1">
      <alignment horizontal="center" vertical="center" wrapText="1"/>
    </xf>
    <xf numFmtId="0" fontId="24" fillId="33" borderId="71" xfId="58" applyFont="1" applyFill="1" applyBorder="1" applyAlignment="1">
      <alignment horizontal="center" vertical="center"/>
    </xf>
    <xf numFmtId="0" fontId="14" fillId="32" borderId="79" xfId="90" applyFont="1" applyFill="1" applyBorder="1" applyAlignment="1">
      <alignment horizontal="center" vertical="center" wrapText="1"/>
    </xf>
    <xf numFmtId="0" fontId="14" fillId="32" borderId="16" xfId="90" applyFont="1" applyFill="1" applyBorder="1" applyAlignment="1">
      <alignment horizontal="center" vertical="center" wrapText="1"/>
    </xf>
    <xf numFmtId="0" fontId="14" fillId="32" borderId="17" xfId="90" applyFont="1" applyFill="1" applyBorder="1" applyAlignment="1">
      <alignment horizontal="center" vertical="center" wrapText="1"/>
    </xf>
    <xf numFmtId="0" fontId="14" fillId="32" borderId="39" xfId="90" applyFont="1" applyFill="1" applyBorder="1" applyAlignment="1">
      <alignment horizontal="center" vertical="center" wrapText="1"/>
    </xf>
    <xf numFmtId="0" fontId="14" fillId="32" borderId="40" xfId="90" applyFont="1" applyFill="1" applyBorder="1" applyAlignment="1">
      <alignment horizontal="center" vertical="center" wrapText="1"/>
    </xf>
    <xf numFmtId="0" fontId="14" fillId="32" borderId="117" xfId="90" applyFont="1" applyFill="1" applyBorder="1" applyAlignment="1">
      <alignment horizontal="center" vertical="center" wrapText="1"/>
    </xf>
    <xf numFmtId="179" fontId="14" fillId="26" borderId="43" xfId="90" applyNumberFormat="1" applyFont="1" applyFill="1" applyBorder="1" applyAlignment="1">
      <alignment horizontal="center" vertical="center"/>
    </xf>
    <xf numFmtId="179" fontId="14" fillId="26" borderId="16" xfId="90" applyNumberFormat="1" applyFont="1" applyFill="1" applyBorder="1" applyAlignment="1">
      <alignment horizontal="center" vertical="center"/>
    </xf>
    <xf numFmtId="179" fontId="14" fillId="26" borderId="104" xfId="90" applyNumberFormat="1" applyFont="1" applyFill="1" applyBorder="1" applyAlignment="1">
      <alignment horizontal="center" vertical="center"/>
    </xf>
    <xf numFmtId="179" fontId="14" fillId="26" borderId="109" xfId="90" applyNumberFormat="1" applyFont="1" applyFill="1" applyBorder="1" applyAlignment="1">
      <alignment horizontal="center" vertical="center"/>
    </xf>
    <xf numFmtId="179" fontId="14" fillId="26" borderId="40" xfId="90" applyNumberFormat="1" applyFont="1" applyFill="1" applyBorder="1" applyAlignment="1">
      <alignment horizontal="center" vertical="center"/>
    </xf>
    <xf numFmtId="179" fontId="14" fillId="26" borderId="41" xfId="90" applyNumberFormat="1" applyFont="1" applyFill="1" applyBorder="1" applyAlignment="1">
      <alignment horizontal="center" vertical="center"/>
    </xf>
    <xf numFmtId="0" fontId="14" fillId="32" borderId="37" xfId="90" applyFont="1" applyFill="1" applyBorder="1" applyAlignment="1">
      <alignment horizontal="center" vertical="center" wrapText="1"/>
    </xf>
    <xf numFmtId="0" fontId="14" fillId="32" borderId="0" xfId="90" applyFont="1" applyFill="1" applyBorder="1" applyAlignment="1">
      <alignment horizontal="center" vertical="center" wrapText="1"/>
    </xf>
    <xf numFmtId="0" fontId="14" fillId="32" borderId="44" xfId="90" applyFont="1" applyFill="1" applyBorder="1" applyAlignment="1">
      <alignment horizontal="center" vertical="center" wrapText="1"/>
    </xf>
    <xf numFmtId="0" fontId="14" fillId="32" borderId="47" xfId="90" applyFont="1" applyFill="1" applyBorder="1" applyAlignment="1">
      <alignment horizontal="center" vertical="center" wrapText="1"/>
    </xf>
    <xf numFmtId="0" fontId="14" fillId="32" borderId="11" xfId="90" applyFont="1" applyFill="1" applyBorder="1" applyAlignment="1">
      <alignment horizontal="center" vertical="center" wrapText="1"/>
    </xf>
    <xf numFmtId="0" fontId="14" fillId="32" borderId="46" xfId="90" applyFont="1" applyFill="1" applyBorder="1" applyAlignment="1">
      <alignment horizontal="center" vertical="center" wrapText="1"/>
    </xf>
    <xf numFmtId="179" fontId="14" fillId="26" borderId="115" xfId="90" applyNumberFormat="1" applyFont="1" applyFill="1" applyBorder="1" applyAlignment="1">
      <alignment horizontal="center" vertical="center"/>
    </xf>
    <xf numFmtId="179" fontId="14" fillId="26" borderId="0" xfId="90" applyNumberFormat="1" applyFont="1" applyFill="1" applyBorder="1" applyAlignment="1">
      <alignment horizontal="center" vertical="center"/>
    </xf>
    <xf numFmtId="179" fontId="14" fillId="26" borderId="38" xfId="90" applyNumberFormat="1" applyFont="1" applyFill="1" applyBorder="1" applyAlignment="1">
      <alignment horizontal="center" vertical="center"/>
    </xf>
    <xf numFmtId="179" fontId="14" fillId="26" borderId="45" xfId="90" applyNumberFormat="1" applyFont="1" applyFill="1" applyBorder="1" applyAlignment="1">
      <alignment horizontal="center" vertical="center"/>
    </xf>
    <xf numFmtId="179" fontId="14" fillId="26" borderId="11" xfId="90" applyNumberFormat="1" applyFont="1" applyFill="1" applyBorder="1" applyAlignment="1">
      <alignment horizontal="center" vertical="center"/>
    </xf>
    <xf numFmtId="179" fontId="14" fillId="26" borderId="61" xfId="90" applyNumberFormat="1" applyFont="1" applyFill="1" applyBorder="1" applyAlignment="1">
      <alignment horizontal="center" vertical="center"/>
    </xf>
    <xf numFmtId="0" fontId="14" fillId="26" borderId="0" xfId="90" applyFont="1" applyFill="1" applyBorder="1" applyAlignment="1">
      <alignment horizontal="center"/>
    </xf>
    <xf numFmtId="0" fontId="14" fillId="34" borderId="35" xfId="90" applyFont="1" applyFill="1" applyBorder="1" applyAlignment="1">
      <alignment horizontal="center" vertical="center"/>
    </xf>
    <xf numFmtId="0" fontId="14" fillId="34" borderId="36" xfId="90" applyFont="1" applyFill="1" applyBorder="1" applyAlignment="1">
      <alignment horizontal="center" vertical="center"/>
    </xf>
    <xf numFmtId="0" fontId="14" fillId="34" borderId="52" xfId="90" applyFont="1" applyFill="1" applyBorder="1" applyAlignment="1">
      <alignment horizontal="center" vertical="center"/>
    </xf>
    <xf numFmtId="0" fontId="14" fillId="34" borderId="39" xfId="90" applyFont="1" applyFill="1" applyBorder="1" applyAlignment="1">
      <alignment horizontal="center" vertical="center"/>
    </xf>
    <xf numFmtId="0" fontId="14" fillId="34" borderId="40" xfId="90" applyFont="1" applyFill="1" applyBorder="1" applyAlignment="1">
      <alignment horizontal="center" vertical="center"/>
    </xf>
    <xf numFmtId="0" fontId="14" fillId="34" borderId="41" xfId="90" applyFont="1" applyFill="1" applyBorder="1" applyAlignment="1">
      <alignment horizontal="center" vertical="center"/>
    </xf>
    <xf numFmtId="0" fontId="19" fillId="26" borderId="0" xfId="90" applyFont="1" applyFill="1" applyAlignment="1">
      <alignment horizontal="center"/>
    </xf>
    <xf numFmtId="0" fontId="19" fillId="26" borderId="11" xfId="90" applyFont="1" applyFill="1" applyBorder="1" applyAlignment="1">
      <alignment horizontal="center"/>
    </xf>
    <xf numFmtId="0" fontId="26" fillId="26" borderId="0" xfId="90" applyFont="1" applyFill="1" applyAlignment="1">
      <alignment shrinkToFit="1"/>
    </xf>
    <xf numFmtId="173" fontId="15" fillId="26" borderId="0" xfId="90" applyNumberFormat="1" applyFill="1" applyAlignment="1">
      <alignment horizontal="center"/>
    </xf>
    <xf numFmtId="269" fontId="15" fillId="26" borderId="0" xfId="90" applyNumberFormat="1" applyFill="1" applyAlignment="1">
      <alignment horizontal="center"/>
    </xf>
    <xf numFmtId="173" fontId="15" fillId="26" borderId="0" xfId="90" applyNumberFormat="1" applyFill="1" applyAlignment="1">
      <alignment horizontal="left"/>
    </xf>
    <xf numFmtId="0" fontId="21" fillId="26" borderId="0" xfId="90" quotePrefix="1" applyFont="1" applyFill="1" applyAlignment="1">
      <alignment horizontal="center"/>
    </xf>
    <xf numFmtId="0" fontId="21" fillId="26" borderId="0" xfId="90" applyFont="1" applyFill="1" applyAlignment="1">
      <alignment horizontal="center"/>
    </xf>
    <xf numFmtId="0" fontId="0" fillId="26" borderId="37" xfId="0" applyFill="1" applyBorder="1" applyAlignment="1">
      <alignment horizontal="center" shrinkToFit="1"/>
    </xf>
    <xf numFmtId="0" fontId="0" fillId="26" borderId="0" xfId="0" applyFill="1" applyBorder="1" applyAlignment="1">
      <alignment horizontal="center" shrinkToFit="1"/>
    </xf>
    <xf numFmtId="0" fontId="0" fillId="26" borderId="38" xfId="0" applyFill="1" applyBorder="1" applyAlignment="1">
      <alignment horizontal="center" shrinkToFit="1"/>
    </xf>
    <xf numFmtId="173" fontId="14" fillId="26" borderId="53" xfId="0" applyNumberFormat="1" applyFont="1" applyFill="1" applyBorder="1" applyAlignment="1">
      <alignment horizontal="center"/>
    </xf>
    <xf numFmtId="173" fontId="14" fillId="26" borderId="54" xfId="0" applyNumberFormat="1" applyFont="1" applyFill="1" applyBorder="1" applyAlignment="1">
      <alignment horizontal="center"/>
    </xf>
    <xf numFmtId="173" fontId="14" fillId="26" borderId="59" xfId="0" applyNumberFormat="1" applyFont="1" applyFill="1" applyBorder="1" applyAlignment="1">
      <alignment horizontal="center"/>
    </xf>
    <xf numFmtId="0" fontId="36" fillId="27" borderId="35" xfId="0" applyFont="1" applyFill="1" applyBorder="1" applyAlignment="1">
      <alignment horizontal="center" vertical="center"/>
    </xf>
    <xf numFmtId="0" fontId="36" fillId="27" borderId="36" xfId="0" applyFont="1" applyFill="1" applyBorder="1" applyAlignment="1">
      <alignment horizontal="center" vertical="center"/>
    </xf>
    <xf numFmtId="0" fontId="36" fillId="27" borderId="52" xfId="0" applyFont="1" applyFill="1" applyBorder="1" applyAlignment="1">
      <alignment horizontal="center" vertical="center"/>
    </xf>
    <xf numFmtId="0" fontId="36" fillId="27" borderId="37" xfId="0" applyFont="1" applyFill="1" applyBorder="1" applyAlignment="1">
      <alignment horizontal="center" vertical="center"/>
    </xf>
    <xf numFmtId="0" fontId="36" fillId="27" borderId="0" xfId="0" applyFont="1" applyFill="1" applyBorder="1" applyAlignment="1">
      <alignment horizontal="center" vertical="center"/>
    </xf>
    <xf numFmtId="0" fontId="36" fillId="27" borderId="38" xfId="0" applyFont="1" applyFill="1" applyBorder="1" applyAlignment="1">
      <alignment horizontal="center" vertical="center"/>
    </xf>
    <xf numFmtId="0" fontId="148" fillId="27" borderId="0" xfId="0" applyFont="1" applyFill="1" applyBorder="1" applyAlignment="1">
      <alignment horizontal="center" vertical="center"/>
    </xf>
  </cellXfs>
  <cellStyles count="117">
    <cellStyle name="20 % - Akzent1" xfId="69"/>
    <cellStyle name="20 % - Akzent2" xfId="70"/>
    <cellStyle name="20 % - Akzent3" xfId="71"/>
    <cellStyle name="20 % - Akzent4" xfId="72"/>
    <cellStyle name="20 % - Akzent5" xfId="73"/>
    <cellStyle name="20 % - Akzent6" xfId="74"/>
    <cellStyle name="20% - Akzent1" xfId="1"/>
    <cellStyle name="20% - Akzent2" xfId="2"/>
    <cellStyle name="20% - Akzent3" xfId="3"/>
    <cellStyle name="20% - Akzent4" xfId="4"/>
    <cellStyle name="20% - Akzent5" xfId="5"/>
    <cellStyle name="20% - Akzent6" xfId="6"/>
    <cellStyle name="40 % - Akzent1" xfId="75"/>
    <cellStyle name="40 % - Akzent2" xfId="76"/>
    <cellStyle name="40 % - Akzent3" xfId="77"/>
    <cellStyle name="40 % - Akzent4" xfId="78"/>
    <cellStyle name="40 % - Akzent5" xfId="79"/>
    <cellStyle name="40 % - Akzent6" xfId="80"/>
    <cellStyle name="40% - Akzent1" xfId="7"/>
    <cellStyle name="40% - Akzent2" xfId="8"/>
    <cellStyle name="40% - Akzent3" xfId="9"/>
    <cellStyle name="40% - Akzent4" xfId="10"/>
    <cellStyle name="40% - Akzent5" xfId="11"/>
    <cellStyle name="40% - Akzent6" xfId="12"/>
    <cellStyle name="60 % - Akzent1" xfId="81"/>
    <cellStyle name="60 % - Akzent2" xfId="82"/>
    <cellStyle name="60 % - Akzent3" xfId="83"/>
    <cellStyle name="60 % - Akzent4" xfId="84"/>
    <cellStyle name="60 % - Akzent4 2" xfId="99"/>
    <cellStyle name="60 % - Akzent5" xfId="85"/>
    <cellStyle name="60 % - Akzent6" xfId="86"/>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Dezimal 2" xfId="27"/>
    <cellStyle name="Dezimal 2 2" xfId="87"/>
    <cellStyle name="Dezimal 3" xfId="60"/>
    <cellStyle name="Dezimal_Nachweis Neu Probe Hilden nur Euro" xfId="28"/>
    <cellStyle name="Eingabe" xfId="29" builtinId="20" customBuiltin="1"/>
    <cellStyle name="Ergebnis" xfId="30" builtinId="25" customBuiltin="1"/>
    <cellStyle name="Erklärender Text" xfId="31" builtinId="53" customBuiltin="1"/>
    <cellStyle name="Euro" xfId="32"/>
    <cellStyle name="Euro 2" xfId="33"/>
    <cellStyle name="Euro 2 2" xfId="68"/>
    <cellStyle name="Euro 3" xfId="34"/>
    <cellStyle name="Euro 3 2" xfId="88"/>
    <cellStyle name="Euro 4" xfId="63"/>
    <cellStyle name="Gut" xfId="35" builtinId="26" customBuiltin="1"/>
    <cellStyle name="Hyperlink 2" xfId="36"/>
    <cellStyle name="Hyperlink 3" xfId="37"/>
    <cellStyle name="Komma" xfId="38" builtinId="3"/>
    <cellStyle name="Komma 2" xfId="59"/>
    <cellStyle name="Komma 3" xfId="102"/>
    <cellStyle name="Komma 3 2" xfId="105"/>
    <cellStyle name="Komma 3 2 2" xfId="112"/>
    <cellStyle name="Komma 3 2 2 2" xfId="115"/>
    <cellStyle name="Komma 3 3" xfId="108"/>
    <cellStyle name="Link" xfId="61" builtinId="8"/>
    <cellStyle name="Link 2" xfId="66"/>
    <cellStyle name="Neutral" xfId="39" builtinId="28" customBuiltin="1"/>
    <cellStyle name="Notiz" xfId="40" builtinId="10" customBuiltin="1"/>
    <cellStyle name="Prozent" xfId="41" builtinId="5"/>
    <cellStyle name="Prozent 2" xfId="42"/>
    <cellStyle name="Prozent 2 2" xfId="67"/>
    <cellStyle name="Prozent 3" xfId="94"/>
    <cellStyle name="Prozent 4" xfId="98"/>
    <cellStyle name="Prozent 5" xfId="104"/>
    <cellStyle name="Prozent 5 2" xfId="107"/>
    <cellStyle name="Prozent 6" xfId="113"/>
    <cellStyle name="Prozent 6 2" xfId="116"/>
    <cellStyle name="Schlecht" xfId="43" builtinId="27" customBuiltin="1"/>
    <cellStyle name="Standard" xfId="0" builtinId="0"/>
    <cellStyle name="Standard 10" xfId="110"/>
    <cellStyle name="Standard 10 2" xfId="106"/>
    <cellStyle name="Standard 11" xfId="111"/>
    <cellStyle name="Standard 11 2" xfId="114"/>
    <cellStyle name="Standard 2" xfId="44"/>
    <cellStyle name="Standard 2 2" xfId="45"/>
    <cellStyle name="Standard 2 2 2" xfId="90"/>
    <cellStyle name="Standard 2 3" xfId="89"/>
    <cellStyle name="Standard 3" xfId="46"/>
    <cellStyle name="Standard 3 2" xfId="47"/>
    <cellStyle name="Standard 3 2 2" xfId="48"/>
    <cellStyle name="Standard 3 2 2 2" xfId="92"/>
    <cellStyle name="Standard 3 2 3" xfId="91"/>
    <cellStyle name="Standard 3 3" xfId="64"/>
    <cellStyle name="Standard 4" xfId="58"/>
    <cellStyle name="Standard 5" xfId="65"/>
    <cellStyle name="Standard 5 2" xfId="103"/>
    <cellStyle name="Standard 5 2 2" xfId="109"/>
    <cellStyle name="Standard 6" xfId="93"/>
    <cellStyle name="Standard 6 2 2" xfId="95"/>
    <cellStyle name="Standard 6 4" xfId="97"/>
    <cellStyle name="Standard 7" xfId="96"/>
    <cellStyle name="Standard 8" xfId="100"/>
    <cellStyle name="Standard 9" xfId="101"/>
    <cellStyle name="Überschrift" xfId="49" builtinId="15" customBuiltin="1"/>
    <cellStyle name="Überschrift 1" xfId="50" builtinId="16" customBuiltin="1"/>
    <cellStyle name="Überschrift 2" xfId="51" builtinId="17" customBuiltin="1"/>
    <cellStyle name="Überschrift 3" xfId="52" builtinId="18" customBuiltin="1"/>
    <cellStyle name="Überschrift 4" xfId="53" builtinId="19" customBuiltin="1"/>
    <cellStyle name="Verknüpfte Zelle" xfId="54" builtinId="24" customBuiltin="1"/>
    <cellStyle name="Währung" xfId="55" builtinId="4"/>
    <cellStyle name="Währung 2" xfId="62"/>
    <cellStyle name="Warnender Text" xfId="56" builtinId="11" customBuiltin="1"/>
    <cellStyle name="Zelle überprüfen" xfId="57" builtinId="23" customBuiltin="1"/>
  </cellStyles>
  <dxfs count="509">
    <dxf>
      <font>
        <color theme="0" tint="-4.9989318521683403E-2"/>
      </font>
    </dxf>
    <dxf>
      <font>
        <color theme="0" tint="-4.9989318521683403E-2"/>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ill>
        <patternFill>
          <bgColor rgb="FFFF9966"/>
        </patternFill>
      </fill>
    </dxf>
    <dxf>
      <fill>
        <patternFill>
          <bgColor theme="6" tint="0.39994506668294322"/>
        </patternFill>
      </fill>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ndense val="0"/>
        <extend val="0"/>
        <color indexed="9"/>
      </font>
    </dxf>
    <dxf>
      <font>
        <color theme="0"/>
      </font>
    </dxf>
    <dxf>
      <font>
        <color theme="0"/>
      </font>
    </dxf>
    <dxf>
      <font>
        <condense val="0"/>
        <extend val="0"/>
        <color indexed="27"/>
      </font>
    </dxf>
    <dxf>
      <font>
        <color rgb="FF66FFFF"/>
      </font>
    </dxf>
    <dxf>
      <font>
        <color theme="0"/>
      </font>
    </dxf>
    <dxf>
      <font>
        <color theme="0"/>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ndense val="0"/>
        <extend val="0"/>
        <color indexed="27"/>
      </font>
    </dxf>
    <dxf>
      <font>
        <condense val="0"/>
        <extend val="0"/>
        <color indexed="27"/>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7"/>
      </font>
    </dxf>
    <dxf>
      <font>
        <color theme="0"/>
      </font>
    </dxf>
    <dxf>
      <font>
        <condense val="0"/>
        <extend val="0"/>
        <color indexed="27"/>
      </font>
    </dxf>
    <dxf>
      <font>
        <condense val="0"/>
        <extend val="0"/>
        <color indexed="27"/>
      </font>
    </dxf>
    <dxf>
      <font>
        <color theme="0"/>
      </font>
    </dxf>
    <dxf>
      <font>
        <color theme="0"/>
      </font>
    </dxf>
    <dxf>
      <font>
        <color theme="0"/>
      </font>
    </dxf>
    <dxf>
      <font>
        <color theme="0"/>
      </font>
    </dxf>
    <dxf>
      <font>
        <color theme="0"/>
      </font>
    </dxf>
    <dxf>
      <font>
        <condense val="0"/>
        <extend val="0"/>
        <color indexed="27"/>
      </font>
    </dxf>
    <dxf>
      <font>
        <condense val="0"/>
        <extend val="0"/>
        <color indexed="27"/>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7"/>
      </font>
    </dxf>
    <dxf>
      <font>
        <condense val="0"/>
        <extend val="0"/>
        <color indexed="27"/>
      </font>
    </dxf>
    <dxf>
      <font>
        <color rgb="FF66FFFF"/>
      </font>
    </dxf>
    <dxf>
      <font>
        <color theme="0"/>
      </font>
    </dxf>
    <dxf>
      <font>
        <condense val="0"/>
        <extend val="0"/>
        <color indexed="27"/>
      </font>
    </dxf>
    <dxf>
      <font>
        <condense val="0"/>
        <extend val="0"/>
        <color indexed="27"/>
      </font>
    </dxf>
    <dxf>
      <font>
        <condense val="0"/>
        <extend val="0"/>
        <color indexed="27"/>
      </font>
    </dxf>
    <dxf>
      <font>
        <condense val="0"/>
        <extend val="0"/>
        <color indexed="27"/>
      </font>
    </dxf>
    <dxf>
      <fill>
        <patternFill>
          <bgColor theme="6" tint="0.39994506668294322"/>
        </patternFill>
      </fill>
    </dxf>
    <dxf>
      <fill>
        <patternFill>
          <bgColor theme="9" tint="0.39994506668294322"/>
        </patternFill>
      </fill>
    </dxf>
    <dxf>
      <font>
        <color theme="0"/>
      </font>
    </dxf>
    <dxf>
      <font>
        <color theme="0"/>
      </font>
    </dxf>
    <dxf>
      <font>
        <condense val="0"/>
        <extend val="0"/>
        <color indexed="27"/>
      </font>
    </dxf>
    <dxf>
      <font>
        <condense val="0"/>
        <extend val="0"/>
        <color indexed="27"/>
      </font>
    </dxf>
    <dxf>
      <font>
        <condense val="0"/>
        <extend val="0"/>
        <color indexed="27"/>
      </font>
    </dxf>
    <dxf>
      <font>
        <condense val="0"/>
        <extend val="0"/>
        <color indexed="9"/>
      </font>
    </dxf>
    <dxf>
      <font>
        <condense val="0"/>
        <extend val="0"/>
        <color indexed="27"/>
      </font>
    </dxf>
    <dxf>
      <font>
        <condense val="0"/>
        <extend val="0"/>
        <color indexed="27"/>
      </font>
    </dxf>
    <dxf>
      <font>
        <color theme="0"/>
      </font>
    </dxf>
    <dxf>
      <font>
        <condense val="0"/>
        <extend val="0"/>
        <color indexed="27"/>
      </font>
    </dxf>
    <dxf>
      <font>
        <condense val="0"/>
        <extend val="0"/>
        <color indexed="27"/>
      </font>
    </dxf>
    <dxf>
      <font>
        <condense val="0"/>
        <extend val="0"/>
        <color indexed="27"/>
      </font>
    </dxf>
    <dxf>
      <font>
        <condense val="0"/>
        <extend val="0"/>
        <color indexed="27"/>
      </font>
    </dxf>
    <dxf>
      <font>
        <condense val="0"/>
        <extend val="0"/>
        <color indexed="27"/>
      </font>
    </dxf>
    <dxf>
      <font>
        <condense val="0"/>
        <extend val="0"/>
        <color indexed="27"/>
      </font>
    </dxf>
    <dxf>
      <font>
        <color rgb="FF66FFFF"/>
      </font>
    </dxf>
    <dxf>
      <font>
        <color theme="0"/>
      </font>
    </dxf>
    <dxf>
      <font>
        <condense val="0"/>
        <extend val="0"/>
        <color indexed="27"/>
      </font>
    </dxf>
    <dxf>
      <font>
        <color theme="0"/>
      </font>
    </dxf>
    <dxf>
      <font>
        <color theme="0"/>
      </font>
    </dxf>
    <dxf>
      <font>
        <condense val="0"/>
        <extend val="0"/>
        <color indexed="9"/>
      </font>
    </dxf>
    <dxf>
      <font>
        <condense val="0"/>
        <extend val="0"/>
        <color indexed="9"/>
      </font>
    </dxf>
    <dxf>
      <font>
        <condense val="0"/>
        <extend val="0"/>
        <color indexed="27"/>
      </font>
    </dxf>
    <dxf>
      <font>
        <color rgb="FF66FFFF"/>
      </font>
    </dxf>
    <dxf>
      <font>
        <color theme="0"/>
      </font>
    </dxf>
    <dxf>
      <font>
        <color theme="0"/>
      </font>
    </dxf>
    <dxf>
      <font>
        <strike val="0"/>
        <condense val="0"/>
        <extend val="0"/>
        <color indexed="9"/>
      </font>
    </dxf>
    <dxf>
      <font>
        <condense val="0"/>
        <extend val="0"/>
        <color indexed="9"/>
      </font>
    </dxf>
    <dxf>
      <font>
        <condense val="0"/>
        <extend val="0"/>
        <color indexed="9"/>
      </font>
    </dxf>
    <dxf>
      <font>
        <color theme="0"/>
      </font>
    </dxf>
    <dxf>
      <font>
        <color theme="0"/>
      </font>
    </dxf>
    <dxf>
      <font>
        <color theme="0"/>
      </font>
    </dxf>
    <dxf>
      <font>
        <color theme="0"/>
      </font>
    </dxf>
    <dxf>
      <font>
        <color theme="0"/>
      </font>
    </dxf>
    <dxf>
      <font>
        <color theme="0"/>
      </font>
    </dxf>
    <dxf>
      <font>
        <color rgb="FF66FFFF"/>
      </font>
    </dxf>
    <dxf>
      <font>
        <color theme="0"/>
      </font>
    </dxf>
    <dxf>
      <font>
        <color theme="0"/>
      </font>
    </dxf>
    <dxf>
      <font>
        <color theme="0"/>
      </font>
    </dxf>
    <dxf>
      <font>
        <color rgb="FF00B0F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7"/>
      </font>
    </dxf>
    <dxf>
      <font>
        <condense val="0"/>
        <extend val="0"/>
        <color indexed="27"/>
      </font>
    </dxf>
    <dxf>
      <font>
        <condense val="0"/>
        <extend val="0"/>
        <color indexed="27"/>
      </font>
    </dxf>
    <dxf>
      <font>
        <condense val="0"/>
        <extend val="0"/>
        <color indexed="27"/>
      </font>
    </dxf>
    <dxf>
      <font>
        <condense val="0"/>
        <extend val="0"/>
        <color indexed="27"/>
      </font>
    </dxf>
    <dxf>
      <font>
        <condense val="0"/>
        <extend val="0"/>
        <color indexed="9"/>
      </font>
    </dxf>
    <dxf>
      <font>
        <condense val="0"/>
        <extend val="0"/>
        <color indexed="27"/>
      </font>
    </dxf>
    <dxf>
      <font>
        <color theme="0"/>
      </font>
    </dxf>
    <dxf>
      <font>
        <color theme="0"/>
      </font>
    </dxf>
    <dxf>
      <font>
        <color theme="0"/>
      </font>
    </dxf>
    <dxf>
      <font>
        <b/>
        <i val="0"/>
        <condense val="0"/>
        <extend val="0"/>
      </font>
      <fill>
        <patternFill>
          <bgColor indexed="26"/>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27"/>
      </font>
    </dxf>
    <dxf>
      <font>
        <condense val="0"/>
        <extend val="0"/>
        <color indexed="9"/>
      </font>
      <fill>
        <patternFill>
          <bgColor indexed="9"/>
        </patternFill>
      </fill>
    </dxf>
    <dxf>
      <font>
        <condense val="0"/>
        <extend val="0"/>
        <color indexed="9"/>
      </font>
    </dxf>
    <dxf>
      <font>
        <condense val="0"/>
        <extend val="0"/>
        <color indexed="27"/>
      </font>
    </dxf>
    <dxf>
      <font>
        <color theme="0"/>
      </font>
    </dxf>
    <dxf>
      <font>
        <color theme="0"/>
      </font>
    </dxf>
    <dxf>
      <font>
        <color theme="0"/>
      </font>
    </dxf>
    <dxf>
      <font>
        <color theme="0"/>
      </font>
    </dxf>
    <dxf>
      <font>
        <color theme="0"/>
      </font>
    </dxf>
    <dxf>
      <font>
        <color theme="0"/>
      </font>
    </dxf>
    <dxf>
      <font>
        <color theme="0"/>
      </font>
    </dxf>
    <dxf>
      <font>
        <color rgb="FFCCFFCC"/>
      </font>
    </dxf>
    <dxf>
      <font>
        <color rgb="FFCCFFCC"/>
      </font>
    </dxf>
    <dxf>
      <font>
        <color rgb="FFCCFFCC"/>
      </font>
    </dxf>
    <dxf>
      <font>
        <color rgb="FFCCFFCC"/>
      </font>
    </dxf>
    <dxf>
      <font>
        <color rgb="FFCCFFCC"/>
      </font>
    </dxf>
    <dxf>
      <font>
        <color rgb="FFCCFFCC"/>
      </font>
    </dxf>
    <dxf>
      <font>
        <color rgb="FFCCFFCC"/>
      </font>
    </dxf>
    <dxf>
      <font>
        <color rgb="FFCCFFCC"/>
      </font>
    </dxf>
    <dxf>
      <font>
        <color theme="0"/>
      </font>
    </dxf>
    <dxf>
      <font>
        <color theme="0"/>
      </font>
    </dxf>
    <dxf>
      <font>
        <color rgb="FFCCFFCC"/>
      </font>
    </dxf>
    <dxf>
      <font>
        <color rgb="FFCCFFCC"/>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DDD9C4"/>
      </font>
    </dxf>
    <dxf>
      <font>
        <color rgb="FFDDD9C4"/>
      </font>
    </dxf>
    <dxf>
      <font>
        <color rgb="FFDDD9C4"/>
      </font>
    </dxf>
    <dxf>
      <font>
        <color rgb="FFDDD9C4"/>
      </font>
    </dxf>
    <dxf>
      <font>
        <color rgb="FFCCFFFF"/>
      </font>
    </dxf>
    <dxf>
      <font>
        <color theme="0"/>
      </font>
    </dxf>
    <dxf>
      <font>
        <color rgb="FFDDD9C4"/>
      </font>
    </dxf>
    <dxf>
      <font>
        <color rgb="FFDDD9C4"/>
      </font>
    </dxf>
    <dxf>
      <font>
        <color rgb="FFDDD9C4"/>
      </font>
    </dxf>
    <dxf>
      <font>
        <color rgb="FFDDD9C4"/>
      </font>
    </dxf>
    <dxf>
      <font>
        <color rgb="FFCCFFCC"/>
      </font>
    </dxf>
    <dxf>
      <font>
        <color theme="0"/>
      </font>
    </dxf>
    <dxf>
      <font>
        <color rgb="FFD9D9D9"/>
      </font>
    </dxf>
    <dxf>
      <font>
        <color rgb="FFDDD9C4"/>
      </font>
    </dxf>
    <dxf>
      <font>
        <color theme="0"/>
      </font>
    </dxf>
    <dxf>
      <font>
        <color rgb="FFCCFFCC"/>
      </font>
    </dxf>
    <dxf>
      <font>
        <color rgb="FFCCFFCC"/>
      </font>
    </dxf>
    <dxf>
      <font>
        <color theme="0"/>
      </font>
    </dxf>
    <dxf>
      <font>
        <color theme="0"/>
      </font>
      <fill>
        <patternFill>
          <bgColor theme="0"/>
        </patternFill>
      </fill>
    </dxf>
    <dxf>
      <font>
        <color theme="0"/>
      </font>
    </dxf>
    <dxf>
      <font>
        <color theme="0"/>
      </font>
      <fill>
        <patternFill>
          <bgColor theme="0"/>
        </patternFill>
      </fill>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lor theme="0"/>
      </font>
    </dxf>
    <dxf>
      <font>
        <color theme="0"/>
      </font>
    </dxf>
    <dxf>
      <font>
        <color theme="0"/>
      </font>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lor theme="0"/>
      </font>
    </dxf>
    <dxf>
      <font>
        <color theme="0"/>
      </font>
    </dxf>
    <dxf>
      <font>
        <color theme="0"/>
      </font>
    </dxf>
    <dxf>
      <font>
        <color theme="0"/>
      </font>
    </dxf>
    <dxf>
      <font>
        <condense val="0"/>
        <extend val="0"/>
        <color indexed="9"/>
      </font>
      <fill>
        <patternFill>
          <fgColor indexed="9"/>
          <bgColor indexed="9"/>
        </patternFill>
      </fill>
      <border>
        <left/>
        <right/>
        <top/>
        <bottom/>
      </border>
    </dxf>
    <dxf>
      <font>
        <color theme="0"/>
      </font>
    </dxf>
    <dxf>
      <font>
        <color theme="0"/>
      </font>
    </dxf>
    <dxf>
      <font>
        <color theme="0"/>
      </font>
    </dxf>
    <dxf>
      <font>
        <color theme="0"/>
      </font>
    </dxf>
    <dxf>
      <font>
        <color theme="0"/>
      </font>
    </dxf>
    <dxf>
      <font>
        <color theme="0"/>
      </font>
    </dxf>
    <dxf>
      <font>
        <color theme="0"/>
      </font>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font>
    </dxf>
    <dxf>
      <font>
        <condense val="0"/>
        <extend val="0"/>
        <color indexed="9"/>
      </font>
      <fill>
        <patternFill>
          <fgColor indexed="9"/>
          <bgColor indexed="9"/>
        </patternFill>
      </fill>
      <border>
        <left/>
        <right/>
        <top/>
        <bottom/>
      </border>
    </dxf>
    <dxf>
      <font>
        <condense val="0"/>
        <extend val="0"/>
        <color indexed="9"/>
      </font>
      <fill>
        <patternFill>
          <bgColor indexed="9"/>
        </patternFill>
      </fill>
      <border>
        <left style="thin">
          <color indexed="9"/>
        </left>
        <right style="thin">
          <color indexed="9"/>
        </right>
        <top style="thin">
          <color indexed="9"/>
        </top>
        <bottom style="thin">
          <color indexed="9"/>
        </bottom>
      </border>
    </dxf>
    <dxf>
      <font>
        <color theme="0" tint="-0.24994659260841701"/>
      </font>
      <border>
        <left/>
        <top/>
        <bottom/>
        <vertical/>
        <horizontal/>
      </border>
    </dxf>
    <dxf>
      <font>
        <color theme="0"/>
      </font>
    </dxf>
    <dxf>
      <font>
        <color theme="0"/>
      </font>
    </dxf>
    <dxf>
      <font>
        <color theme="0" tint="-4.9989318521683403E-2"/>
      </font>
    </dxf>
    <dxf>
      <font>
        <color theme="0" tint="-0.24994659260841701"/>
      </font>
    </dxf>
    <dxf>
      <font>
        <color theme="0" tint="-0.24994659260841701"/>
      </font>
      <border>
        <bottom/>
        <vertical/>
        <horizontal/>
      </border>
    </dxf>
    <dxf>
      <font>
        <color theme="0" tint="-0.24994659260841701"/>
      </font>
      <border>
        <bottom/>
        <vertical/>
        <horizontal/>
      </border>
    </dxf>
    <dxf>
      <font>
        <color theme="0" tint="-4.9989318521683403E-2"/>
      </font>
    </dxf>
    <dxf>
      <font>
        <color theme="0" tint="-0.24994659260841701"/>
      </font>
      <border>
        <bottom/>
        <vertical/>
        <horizontal/>
      </border>
    </dxf>
    <dxf>
      <font>
        <color theme="0" tint="-0.24994659260841701"/>
      </font>
      <border>
        <bottom/>
        <vertical/>
        <horizontal/>
      </border>
    </dxf>
    <dxf>
      <font>
        <color theme="0" tint="-4.9989318521683403E-2"/>
      </font>
    </dxf>
    <dxf>
      <font>
        <color theme="0" tint="-0.24994659260841701"/>
      </font>
    </dxf>
    <dxf>
      <font>
        <color rgb="FFC0C0C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font>
    </dxf>
    <dxf>
      <font>
        <color rgb="FFBFBFBF"/>
      </font>
    </dxf>
    <dxf>
      <font>
        <color rgb="FFBFBFBF"/>
      </font>
    </dxf>
    <dxf>
      <font>
        <color rgb="FFBFBFBF"/>
      </font>
    </dxf>
    <dxf>
      <font>
        <color theme="0"/>
      </font>
    </dxf>
    <dxf>
      <font>
        <color theme="0"/>
      </font>
    </dxf>
    <dxf>
      <font>
        <color theme="0" tint="-4.9989318521683403E-2"/>
      </font>
    </dxf>
    <dxf>
      <font>
        <color theme="0" tint="-4.9989318521683403E-2"/>
      </font>
    </dxf>
    <dxf>
      <font>
        <color theme="0" tint="-0.24994659260841701"/>
      </font>
    </dxf>
    <dxf>
      <font>
        <color theme="0" tint="-0.24994659260841701"/>
      </font>
      <border>
        <bottom/>
        <vertical/>
        <horizontal/>
      </border>
    </dxf>
    <dxf>
      <font>
        <color theme="0" tint="-0.24994659260841701"/>
      </font>
      <border>
        <bottom/>
        <vertical/>
        <horizontal/>
      </border>
    </dxf>
    <dxf>
      <font>
        <condense val="0"/>
        <extend val="0"/>
        <color indexed="9"/>
      </font>
    </dxf>
    <dxf>
      <font>
        <condense val="0"/>
        <extend val="0"/>
        <color indexed="9"/>
      </font>
    </dxf>
    <dxf>
      <font>
        <b/>
        <i/>
        <condense val="0"/>
        <extend val="0"/>
        <color indexed="9"/>
      </font>
    </dxf>
    <dxf>
      <font>
        <color theme="0"/>
      </font>
    </dxf>
    <dxf>
      <font>
        <color theme="0"/>
      </font>
    </dxf>
    <dxf>
      <font>
        <color theme="0"/>
      </font>
      <fill>
        <patternFill>
          <bgColor theme="0"/>
        </patternFill>
      </fill>
    </dxf>
    <dxf>
      <font>
        <color theme="0"/>
      </font>
    </dxf>
    <dxf>
      <font>
        <color theme="0"/>
      </font>
      <fill>
        <patternFill patternType="none">
          <bgColor auto="1"/>
        </patternFill>
      </fill>
      <border>
        <left/>
        <right/>
        <top/>
        <bottom/>
        <vertical/>
        <horizontal/>
      </border>
    </dxf>
    <dxf>
      <border>
        <right style="dashDot">
          <color auto="1"/>
        </right>
        <vertical/>
        <horizontal/>
      </border>
    </dxf>
    <dxf>
      <font>
        <color theme="0"/>
      </font>
    </dxf>
    <dxf>
      <border>
        <right style="dashDot">
          <color auto="1"/>
        </right>
        <vertical/>
        <horizontal/>
      </border>
    </dxf>
    <dxf>
      <border>
        <right style="dashDot">
          <color auto="1"/>
        </right>
        <vertical/>
        <horizontal/>
      </border>
    </dxf>
    <dxf>
      <font>
        <color theme="0"/>
      </font>
    </dxf>
    <dxf>
      <border>
        <left/>
        <bottom/>
        <vertical/>
        <horizontal/>
      </border>
    </dxf>
    <dxf>
      <font>
        <color theme="0"/>
      </font>
      <fill>
        <patternFill>
          <bgColor theme="0"/>
        </patternFill>
      </fill>
      <border>
        <right/>
        <bottom/>
      </border>
    </dxf>
    <dxf>
      <font>
        <color theme="0"/>
      </font>
      <border>
        <right/>
        <bottom/>
        <vertical/>
        <horizontal/>
      </border>
    </dxf>
    <dxf>
      <font>
        <color theme="0"/>
      </font>
      <border>
        <right/>
        <top/>
        <vertical/>
        <horizontal/>
      </border>
    </dxf>
    <dxf>
      <font>
        <color theme="1"/>
      </font>
    </dxf>
    <dxf>
      <font>
        <color theme="1"/>
      </font>
    </dxf>
    <dxf>
      <font>
        <color theme="3"/>
      </font>
    </dxf>
    <dxf>
      <border>
        <left/>
        <right/>
        <top/>
        <bottom/>
        <vertical/>
        <horizontal/>
      </border>
    </dxf>
    <dxf>
      <font>
        <color theme="0"/>
      </font>
      <fill>
        <patternFill>
          <bgColor theme="0"/>
        </patternFill>
      </fill>
      <border>
        <left/>
        <right style="thin">
          <color auto="1"/>
        </right>
        <top/>
        <bottom/>
        <vertical/>
        <horizontal/>
      </border>
    </dxf>
    <dxf>
      <fill>
        <patternFill>
          <bgColor rgb="FFCD6969"/>
        </patternFill>
      </fill>
    </dxf>
    <dxf>
      <fill>
        <patternFill>
          <bgColor theme="8" tint="0.79998168889431442"/>
        </patternFill>
      </fill>
    </dxf>
    <dxf>
      <fill>
        <patternFill>
          <bgColor rgb="FF92D050"/>
        </patternFill>
      </fill>
    </dxf>
    <dxf>
      <font>
        <color theme="0"/>
      </font>
      <border>
        <right/>
        <bottom/>
        <vertical/>
        <horizontal/>
      </border>
    </dxf>
    <dxf>
      <font>
        <color theme="0"/>
      </font>
      <border>
        <right/>
        <top/>
        <vertical/>
        <horizontal/>
      </border>
    </dxf>
    <dxf>
      <font>
        <color rgb="FFCCFFCC"/>
      </font>
    </dxf>
    <dxf>
      <font>
        <color theme="0"/>
      </font>
    </dxf>
    <dxf>
      <font>
        <color theme="0"/>
      </font>
    </dxf>
    <dxf>
      <font>
        <color theme="0"/>
      </font>
    </dxf>
    <dxf>
      <font>
        <color theme="0"/>
      </font>
    </dxf>
    <dxf>
      <font>
        <color rgb="FFCCFFCC"/>
      </font>
    </dxf>
    <dxf>
      <font>
        <color theme="0"/>
      </font>
    </dxf>
    <dxf>
      <font>
        <color theme="0"/>
      </font>
    </dxf>
    <dxf>
      <font>
        <color theme="0"/>
      </font>
    </dxf>
    <dxf>
      <font>
        <color theme="0"/>
      </font>
    </dxf>
    <dxf>
      <font>
        <b/>
        <i val="0"/>
        <color rgb="FF00B050"/>
      </font>
    </dxf>
    <dxf>
      <font>
        <b/>
        <i val="0"/>
        <color rgb="FFFF0000"/>
      </font>
    </dxf>
    <dxf>
      <font>
        <color theme="0"/>
      </font>
    </dxf>
    <dxf>
      <font>
        <color rgb="FFFFFFC0"/>
      </font>
    </dxf>
    <dxf>
      <font>
        <color theme="0"/>
      </font>
    </dxf>
    <dxf>
      <font>
        <color rgb="FFFFFFC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1"/>
      </font>
      <fill>
        <patternFill>
          <bgColor rgb="FFCCFFCC"/>
        </patternFill>
      </fill>
      <border>
        <left style="hair">
          <color auto="1"/>
        </left>
        <top style="thin">
          <color auto="1"/>
        </top>
        <bottom style="thin">
          <color auto="1"/>
        </bottom>
        <vertical/>
        <horizontal/>
      </border>
    </dxf>
    <dxf>
      <font>
        <color theme="1"/>
      </font>
      <fill>
        <patternFill>
          <bgColor rgb="FFCCFFCC"/>
        </patternFill>
      </fill>
      <border>
        <left style="hair">
          <color auto="1"/>
        </left>
        <top style="thin">
          <color auto="1"/>
        </top>
        <bottom style="thin">
          <color auto="1"/>
        </bottom>
        <vertical/>
        <horizontal/>
      </border>
    </dxf>
    <dxf>
      <font>
        <color theme="1"/>
      </font>
      <fill>
        <patternFill>
          <bgColor theme="0" tint="-0.14996795556505021"/>
        </patternFill>
      </fill>
      <border>
        <left style="thin">
          <color auto="1"/>
        </left>
        <right style="hair">
          <color auto="1"/>
        </right>
        <top style="thin">
          <color auto="1"/>
        </top>
        <bottom style="thin">
          <color auto="1"/>
        </bottom>
        <vertical/>
        <horizontal/>
      </border>
    </dxf>
    <dxf>
      <font>
        <color theme="1"/>
      </font>
      <fill>
        <patternFill>
          <bgColor theme="0" tint="-0.14996795556505021"/>
        </patternFill>
      </fill>
      <border>
        <left style="thin">
          <color auto="1"/>
        </left>
        <right style="hair">
          <color auto="1"/>
        </right>
        <top style="thin">
          <color auto="1"/>
        </top>
        <bottom style="thin">
          <color auto="1"/>
        </bottom>
        <vertical/>
        <horizontal/>
      </border>
    </dxf>
    <dxf>
      <font>
        <color theme="1"/>
      </font>
      <fill>
        <patternFill>
          <bgColor theme="0" tint="-0.14996795556505021"/>
        </patternFill>
      </fill>
      <border>
        <left style="thin">
          <color theme="1"/>
        </left>
        <top style="thin">
          <color theme="1"/>
        </top>
        <bottom style="thin">
          <color theme="1"/>
        </bottom>
        <vertical/>
        <horizontal/>
      </border>
    </dxf>
    <dxf>
      <font>
        <b/>
        <i val="0"/>
        <condense val="0"/>
        <extend val="0"/>
        <color auto="1"/>
      </font>
      <fill>
        <patternFill>
          <bgColor indexed="10"/>
        </patternFill>
      </fill>
    </dxf>
    <dxf>
      <font>
        <condense val="0"/>
        <extend val="0"/>
        <color auto="1"/>
      </font>
      <fill>
        <patternFill>
          <bgColor indexed="26"/>
        </patternFill>
      </fill>
    </dxf>
    <dxf>
      <font>
        <condense val="0"/>
        <extend val="0"/>
        <color indexed="9"/>
      </font>
    </dxf>
    <dxf>
      <font>
        <condense val="0"/>
        <extend val="0"/>
        <color indexed="9"/>
      </font>
    </dxf>
    <dxf>
      <font>
        <strike val="0"/>
        <condense val="0"/>
        <extend val="0"/>
        <color indexed="9"/>
      </font>
      <fill>
        <patternFill>
          <bgColor indexed="9"/>
        </patternFill>
      </fill>
    </dxf>
    <dxf>
      <font>
        <b/>
        <i val="0"/>
        <condense val="0"/>
        <extend val="0"/>
        <color indexed="56"/>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indexed="9"/>
      </font>
    </dxf>
    <dxf>
      <font>
        <b/>
        <i/>
        <condense val="0"/>
        <extend val="0"/>
        <color indexed="9"/>
      </font>
    </dxf>
    <dxf>
      <font>
        <b/>
        <i val="0"/>
        <condense val="0"/>
        <extend val="0"/>
      </font>
    </dxf>
    <dxf>
      <font>
        <color theme="0"/>
      </font>
    </dxf>
    <dxf>
      <font>
        <color theme="0"/>
      </font>
    </dxf>
    <dxf>
      <font>
        <color rgb="FFCCFFFF"/>
      </font>
    </dxf>
    <dxf>
      <font>
        <color rgb="FFCCFFFF"/>
      </font>
    </dxf>
    <dxf>
      <font>
        <color theme="0"/>
      </font>
    </dxf>
    <dxf>
      <font>
        <color theme="0"/>
      </font>
    </dxf>
    <dxf>
      <font>
        <condense val="0"/>
        <extend val="0"/>
        <color indexed="9"/>
      </font>
    </dxf>
    <dxf>
      <font>
        <b/>
        <i/>
        <condense val="0"/>
        <extend val="0"/>
        <color indexed="9"/>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0"/>
        </patternFill>
      </fill>
    </dxf>
    <dxf>
      <font>
        <color theme="0"/>
      </font>
    </dxf>
    <dxf>
      <font>
        <color theme="0"/>
      </font>
    </dxf>
    <dxf>
      <fill>
        <patternFill>
          <bgColor theme="0"/>
        </patternFill>
      </fill>
    </dxf>
    <dxf>
      <font>
        <color theme="0"/>
      </font>
      <fill>
        <patternFill>
          <bgColor theme="0"/>
        </patternFill>
      </fill>
    </dxf>
    <dxf>
      <fill>
        <patternFill>
          <bgColor theme="0"/>
        </patternFill>
      </fill>
    </dxf>
    <dxf>
      <fill>
        <patternFill>
          <bgColor theme="0"/>
        </patternFill>
      </fill>
    </dxf>
    <dxf>
      <font>
        <color theme="0"/>
      </font>
      <fill>
        <patternFill>
          <bgColor theme="0"/>
        </patternFill>
      </fill>
    </dxf>
    <dxf>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CC"/>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CC"/>
      </font>
    </dxf>
    <dxf>
      <font>
        <color theme="0"/>
      </font>
    </dxf>
    <dxf>
      <border>
        <left style="thin">
          <color indexed="10"/>
        </left>
        <right style="thin">
          <color indexed="10"/>
        </right>
        <top style="thin">
          <color indexed="10"/>
        </top>
        <bottom style="thin">
          <color indexed="10"/>
        </bottom>
      </border>
    </dxf>
    <dxf>
      <font>
        <condense val="0"/>
        <extend val="0"/>
        <color indexed="9"/>
      </font>
      <border>
        <left/>
        <right/>
        <top/>
        <bottom/>
      </border>
    </dxf>
    <dxf>
      <font>
        <strike val="0"/>
        <condense val="0"/>
        <extend val="0"/>
        <color indexed="9"/>
      </font>
    </dxf>
    <dxf>
      <font>
        <strike val="0"/>
        <color theme="0"/>
      </font>
      <fill>
        <patternFill>
          <bgColor theme="0"/>
        </patternFill>
      </fill>
      <border>
        <left style="thin">
          <color theme="0"/>
        </left>
        <right style="thin">
          <color theme="0"/>
        </right>
        <top style="thin">
          <color theme="0"/>
        </top>
        <bottom style="thin">
          <color theme="0"/>
        </bottom>
        <vertical/>
        <horizontal/>
      </border>
    </dxf>
    <dxf>
      <font>
        <strike val="0"/>
        <color theme="0"/>
      </font>
      <fill>
        <patternFill>
          <fgColor theme="0"/>
          <bgColor theme="0"/>
        </patternFill>
      </fill>
      <border>
        <left/>
        <right/>
        <top/>
        <bottom/>
        <vertical/>
        <horizontal/>
      </border>
    </dxf>
    <dxf>
      <font>
        <strike val="0"/>
        <color theme="0"/>
      </font>
      <fill>
        <patternFill>
          <fgColor theme="0"/>
          <bgColor theme="0"/>
        </patternFill>
      </fill>
      <border>
        <left/>
        <right/>
        <top/>
        <bottom/>
        <vertical/>
        <horizontal/>
      </border>
    </dxf>
    <dxf>
      <font>
        <strike val="0"/>
        <color theme="0"/>
      </font>
      <fill>
        <patternFill>
          <fgColor theme="0"/>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border>
        <left style="thin">
          <color theme="0"/>
        </left>
        <right style="thin">
          <color theme="0"/>
        </right>
        <top style="thin">
          <color theme="0"/>
        </top>
        <bottom style="thin">
          <color theme="0"/>
        </bottom>
        <vertical/>
        <horizontal/>
      </border>
    </dxf>
    <dxf>
      <font>
        <color theme="3" tint="0.79998168889431442"/>
      </font>
    </dxf>
    <dxf>
      <fill>
        <patternFill>
          <bgColor rgb="FFFFFFCC"/>
        </patternFill>
      </fill>
    </dxf>
    <dxf>
      <fill>
        <patternFill>
          <bgColor rgb="FFFFCC00"/>
        </patternFill>
      </fill>
    </dxf>
    <dxf>
      <fill>
        <patternFill>
          <bgColor rgb="FFFFFFCC"/>
        </patternFill>
      </fill>
    </dxf>
    <dxf>
      <fill>
        <patternFill>
          <bgColor rgb="FFFFFFC0"/>
        </patternFill>
      </fill>
    </dxf>
    <dxf>
      <fill>
        <patternFill>
          <bgColor rgb="FFFFFFCC"/>
        </patternFill>
      </fill>
    </dxf>
    <dxf>
      <font>
        <color rgb="FFCCFFCC"/>
      </font>
    </dxf>
    <dxf>
      <font>
        <color rgb="FFCCFFCC"/>
      </font>
    </dxf>
    <dxf>
      <fill>
        <patternFill>
          <bgColor rgb="FFFFFFC0"/>
        </patternFill>
      </fill>
    </dxf>
    <dxf>
      <fill>
        <patternFill>
          <bgColor rgb="FFFFCC00"/>
        </patternFill>
      </fill>
    </dxf>
    <dxf>
      <fill>
        <patternFill>
          <bgColor rgb="FFFFFFC0"/>
        </patternFill>
      </fill>
    </dxf>
    <dxf>
      <fill>
        <patternFill>
          <bgColor rgb="FFFFCC00"/>
        </patternFill>
      </fill>
    </dxf>
    <dxf>
      <border>
        <right style="thin">
          <color auto="1"/>
        </right>
        <vertical/>
        <horizontal/>
      </border>
    </dxf>
    <dxf>
      <border>
        <right/>
        <vertical/>
        <horizontal/>
      </border>
    </dxf>
    <dxf>
      <font>
        <color rgb="FFFFFFCC"/>
      </font>
    </dxf>
    <dxf>
      <fill>
        <patternFill>
          <bgColor rgb="FFFFFFC0"/>
        </patternFill>
      </fill>
    </dxf>
    <dxf>
      <fill>
        <patternFill>
          <bgColor rgb="FFFFCC00"/>
        </patternFill>
      </fill>
    </dxf>
    <dxf>
      <font>
        <color theme="0"/>
      </font>
    </dxf>
    <dxf>
      <font>
        <color theme="0" tint="-0.34998626667073579"/>
      </font>
      <fill>
        <patternFill>
          <bgColor theme="0" tint="-0.34998626667073579"/>
        </patternFill>
      </fill>
    </dxf>
    <dxf>
      <fill>
        <patternFill>
          <bgColor rgb="FFFFFFCC"/>
        </patternFill>
      </fill>
    </dxf>
    <dxf>
      <font>
        <color rgb="FFFFFFCC"/>
      </font>
    </dxf>
    <dxf>
      <font>
        <color rgb="FFFFFFC0"/>
      </font>
    </dxf>
    <dxf>
      <font>
        <color theme="0"/>
      </font>
    </dxf>
    <dxf>
      <font>
        <color theme="0"/>
      </font>
    </dxf>
    <dxf>
      <font>
        <color theme="0"/>
      </font>
    </dxf>
    <dxf>
      <font>
        <color rgb="FFCCFFCC"/>
      </font>
    </dxf>
    <dxf>
      <font>
        <color rgb="FFCCFFCC"/>
      </font>
    </dxf>
    <dxf>
      <fill>
        <patternFill>
          <bgColor theme="0" tint="-0.24994659260841701"/>
        </patternFill>
      </fill>
    </dxf>
    <dxf>
      <fill>
        <patternFill>
          <bgColor theme="0" tint="-0.24994659260841701"/>
        </patternFill>
      </fill>
    </dxf>
    <dxf>
      <fill>
        <patternFill>
          <bgColor theme="0" tint="-0.24994659260841701"/>
        </patternFill>
      </fill>
    </dxf>
    <dxf>
      <font>
        <color theme="1"/>
      </font>
      <fill>
        <patternFill>
          <bgColor rgb="FFFFFFCC"/>
        </patternFill>
      </fill>
    </dxf>
    <dxf>
      <fill>
        <patternFill>
          <bgColor theme="0" tint="-0.14996795556505021"/>
        </patternFill>
      </fill>
    </dxf>
    <dxf>
      <fill>
        <patternFill>
          <bgColor rgb="FFFFFFCC"/>
        </patternFill>
      </fill>
    </dxf>
    <dxf>
      <fill>
        <patternFill>
          <bgColor rgb="FFFFFFCC"/>
        </patternFill>
      </fill>
    </dxf>
    <dxf>
      <fill>
        <patternFill>
          <bgColor theme="0" tint="-0.24994659260841701"/>
        </patternFill>
      </fill>
    </dxf>
    <dxf>
      <fill>
        <patternFill>
          <bgColor rgb="FFFFFFCC"/>
        </patternFill>
      </fill>
    </dxf>
    <dxf>
      <fill>
        <patternFill>
          <bgColor rgb="FFFFC000"/>
        </patternFill>
      </fill>
    </dxf>
    <dxf>
      <font>
        <color rgb="FFCCFFFF"/>
      </font>
    </dxf>
    <dxf>
      <font>
        <color rgb="FFFFFFCC"/>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0"/>
      <color rgb="FFCCFFFF"/>
      <color rgb="FFFFFFC0"/>
      <color rgb="FFFFFFCC"/>
      <color rgb="FFFFFF99"/>
      <color rgb="FFCCFFCC"/>
      <color rgb="FFFF9966"/>
      <color rgb="FFFF0000"/>
      <color rgb="FFC0C0C0"/>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7.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4.jpeg"/><Relationship Id="rId7" Type="http://schemas.openxmlformats.org/officeDocument/2006/relationships/image" Target="http://www.vdek.com/vdek_Logo_RGB45036.jpg" TargetMode="External"/><Relationship Id="rId2" Type="http://schemas.openxmlformats.org/officeDocument/2006/relationships/image" Target="../media/image3.jpeg"/><Relationship Id="rId1" Type="http://schemas.openxmlformats.org/officeDocument/2006/relationships/image" Target="../media/image2.emf"/><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0</xdr:colOff>
      <xdr:row>108</xdr:row>
      <xdr:rowOff>0</xdr:rowOff>
    </xdr:from>
    <xdr:to>
      <xdr:col>5</xdr:col>
      <xdr:colOff>0</xdr:colOff>
      <xdr:row>108</xdr:row>
      <xdr:rowOff>0</xdr:rowOff>
    </xdr:to>
    <xdr:sp macro="" textlink="">
      <xdr:nvSpPr>
        <xdr:cNvPr id="28682" name="Rectangle 10">
          <a:extLst>
            <a:ext uri="{FF2B5EF4-FFF2-40B4-BE49-F238E27FC236}">
              <a16:creationId xmlns:a16="http://schemas.microsoft.com/office/drawing/2014/main" id="{00000000-0008-0000-0100-00000A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684" name="Rectangle 12">
          <a:extLst>
            <a:ext uri="{FF2B5EF4-FFF2-40B4-BE49-F238E27FC236}">
              <a16:creationId xmlns:a16="http://schemas.microsoft.com/office/drawing/2014/main" id="{00000000-0008-0000-0100-00000C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25" name="Rectangle 53">
          <a:extLst>
            <a:ext uri="{FF2B5EF4-FFF2-40B4-BE49-F238E27FC236}">
              <a16:creationId xmlns:a16="http://schemas.microsoft.com/office/drawing/2014/main" id="{00000000-0008-0000-0100-000035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26" name="Rectangle 54">
          <a:extLst>
            <a:ext uri="{FF2B5EF4-FFF2-40B4-BE49-F238E27FC236}">
              <a16:creationId xmlns:a16="http://schemas.microsoft.com/office/drawing/2014/main" id="{00000000-0008-0000-0100-000036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42" name="Rectangle 70">
          <a:extLst>
            <a:ext uri="{FF2B5EF4-FFF2-40B4-BE49-F238E27FC236}">
              <a16:creationId xmlns:a16="http://schemas.microsoft.com/office/drawing/2014/main" id="{00000000-0008-0000-0100-000046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43" name="Rectangle 71">
          <a:extLst>
            <a:ext uri="{FF2B5EF4-FFF2-40B4-BE49-F238E27FC236}">
              <a16:creationId xmlns:a16="http://schemas.microsoft.com/office/drawing/2014/main" id="{00000000-0008-0000-0100-000047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45" name="Rectangle 73">
          <a:extLst>
            <a:ext uri="{FF2B5EF4-FFF2-40B4-BE49-F238E27FC236}">
              <a16:creationId xmlns:a16="http://schemas.microsoft.com/office/drawing/2014/main" id="{00000000-0008-0000-0100-000049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5</xdr:col>
      <xdr:colOff>0</xdr:colOff>
      <xdr:row>108</xdr:row>
      <xdr:rowOff>0</xdr:rowOff>
    </xdr:from>
    <xdr:to>
      <xdr:col>5</xdr:col>
      <xdr:colOff>0</xdr:colOff>
      <xdr:row>108</xdr:row>
      <xdr:rowOff>0</xdr:rowOff>
    </xdr:to>
    <xdr:sp macro="" textlink="">
      <xdr:nvSpPr>
        <xdr:cNvPr id="28746" name="Rectangle 74">
          <a:extLst>
            <a:ext uri="{FF2B5EF4-FFF2-40B4-BE49-F238E27FC236}">
              <a16:creationId xmlns:a16="http://schemas.microsoft.com/office/drawing/2014/main" id="{00000000-0008-0000-0100-00004A700000}"/>
            </a:ext>
          </a:extLst>
        </xdr:cNvPr>
        <xdr:cNvSpPr>
          <a:spLocks noChangeArrowheads="1"/>
        </xdr:cNvSpPr>
      </xdr:nvSpPr>
      <xdr:spPr bwMode="auto">
        <a:xfrm>
          <a:off x="4772025" y="23212425"/>
          <a:ext cx="0" cy="0"/>
        </a:xfrm>
        <a:prstGeom prst="rect">
          <a:avLst/>
        </a:prstGeom>
        <a:solidFill>
          <a:srgbClr val="000080"/>
        </a:solidFill>
        <a:ln w="9525">
          <a:solidFill>
            <a:srgbClr val="000000"/>
          </a:solidFill>
          <a:miter lim="800000"/>
          <a:headEnd/>
          <a:tailEnd/>
        </a:ln>
        <a:effectLst/>
      </xdr:spPr>
      <xdr:txBody>
        <a:bodyPr vertOverflow="clip" wrap="square" lIns="27432" tIns="22860" rIns="27432" bIns="0" anchor="t" upright="1"/>
        <a:lstStyle/>
        <a:p>
          <a:pPr algn="ctr" rtl="0">
            <a:defRPr sz="1000"/>
          </a:pPr>
          <a:r>
            <a:rPr lang="de-DE" sz="800" b="1" i="0" u="none" strike="noStrike" baseline="0">
              <a:solidFill>
                <a:srgbClr val="FFFFFF"/>
              </a:solidFill>
              <a:latin typeface="Arial"/>
              <a:cs typeface="Arial"/>
            </a:rPr>
            <a:t>dann</a:t>
          </a:r>
        </a:p>
      </xdr:txBody>
    </xdr:sp>
    <xdr:clientData/>
  </xdr:twoCellAnchor>
  <xdr:twoCellAnchor>
    <xdr:from>
      <xdr:col>4</xdr:col>
      <xdr:colOff>389458</xdr:colOff>
      <xdr:row>13</xdr:row>
      <xdr:rowOff>114300</xdr:rowOff>
    </xdr:from>
    <xdr:to>
      <xdr:col>5</xdr:col>
      <xdr:colOff>221183</xdr:colOff>
      <xdr:row>13</xdr:row>
      <xdr:rowOff>114300</xdr:rowOff>
    </xdr:to>
    <xdr:sp macro="" textlink="">
      <xdr:nvSpPr>
        <xdr:cNvPr id="28457" name="Line 153">
          <a:extLst>
            <a:ext uri="{FF2B5EF4-FFF2-40B4-BE49-F238E27FC236}">
              <a16:creationId xmlns:a16="http://schemas.microsoft.com/office/drawing/2014/main" id="{00000000-0008-0000-0100-0000296F0000}"/>
            </a:ext>
          </a:extLst>
        </xdr:cNvPr>
        <xdr:cNvSpPr>
          <a:spLocks noChangeShapeType="1"/>
        </xdr:cNvSpPr>
      </xdr:nvSpPr>
      <xdr:spPr bwMode="auto">
        <a:xfrm>
          <a:off x="4527541" y="2601383"/>
          <a:ext cx="752475" cy="0"/>
        </a:xfrm>
        <a:prstGeom prst="line">
          <a:avLst/>
        </a:prstGeom>
        <a:noFill/>
        <a:ln w="2857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52919</xdr:colOff>
      <xdr:row>13</xdr:row>
      <xdr:rowOff>114299</xdr:rowOff>
    </xdr:from>
    <xdr:to>
      <xdr:col>6</xdr:col>
      <xdr:colOff>940859</xdr:colOff>
      <xdr:row>13</xdr:row>
      <xdr:rowOff>116416</xdr:rowOff>
    </xdr:to>
    <xdr:sp macro="" textlink="">
      <xdr:nvSpPr>
        <xdr:cNvPr id="28458" name="Line 154">
          <a:extLst>
            <a:ext uri="{FF2B5EF4-FFF2-40B4-BE49-F238E27FC236}">
              <a16:creationId xmlns:a16="http://schemas.microsoft.com/office/drawing/2014/main" id="{00000000-0008-0000-0100-00002A6F0000}"/>
            </a:ext>
          </a:extLst>
        </xdr:cNvPr>
        <xdr:cNvSpPr>
          <a:spLocks noChangeShapeType="1"/>
        </xdr:cNvSpPr>
      </xdr:nvSpPr>
      <xdr:spPr bwMode="auto">
        <a:xfrm flipV="1">
          <a:off x="6096002" y="2601382"/>
          <a:ext cx="887940" cy="2117"/>
        </a:xfrm>
        <a:prstGeom prst="line">
          <a:avLst/>
        </a:prstGeom>
        <a:noFill/>
        <a:ln w="2857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742950</xdr:colOff>
      <xdr:row>0</xdr:row>
      <xdr:rowOff>0</xdr:rowOff>
    </xdr:from>
    <xdr:to>
      <xdr:col>28</xdr:col>
      <xdr:colOff>0</xdr:colOff>
      <xdr:row>5</xdr:row>
      <xdr:rowOff>85725</xdr:rowOff>
    </xdr:to>
    <xdr:sp macro="" textlink="">
      <xdr:nvSpPr>
        <xdr:cNvPr id="2" name="Text Box 2">
          <a:extLst>
            <a:ext uri="{FF2B5EF4-FFF2-40B4-BE49-F238E27FC236}">
              <a16:creationId xmlns:a16="http://schemas.microsoft.com/office/drawing/2014/main" id="{00000000-0008-0000-0D00-000002000000}"/>
            </a:ext>
          </a:extLst>
        </xdr:cNvPr>
        <xdr:cNvSpPr txBox="1">
          <a:spLocks noChangeArrowheads="1"/>
        </xdr:cNvSpPr>
      </xdr:nvSpPr>
      <xdr:spPr bwMode="auto">
        <a:xfrm>
          <a:off x="23155275" y="0"/>
          <a:ext cx="2305050" cy="1085850"/>
        </a:xfrm>
        <a:prstGeom prst="rect">
          <a:avLst/>
        </a:prstGeom>
        <a:solidFill>
          <a:srgbClr val="FFFFFF"/>
        </a:solidFill>
        <a:ln w="9525">
          <a:solidFill>
            <a:srgbClr val="000000"/>
          </a:solid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238125</xdr:colOff>
      <xdr:row>114</xdr:row>
      <xdr:rowOff>0</xdr:rowOff>
    </xdr:from>
    <xdr:to>
      <xdr:col>7</xdr:col>
      <xdr:colOff>762000</xdr:colOff>
      <xdr:row>114</xdr:row>
      <xdr:rowOff>0</xdr:rowOff>
    </xdr:to>
    <xdr:sp macro="" textlink="">
      <xdr:nvSpPr>
        <xdr:cNvPr id="2" name="WordArt 5">
          <a:extLst>
            <a:ext uri="{FF2B5EF4-FFF2-40B4-BE49-F238E27FC236}">
              <a16:creationId xmlns:a16="http://schemas.microsoft.com/office/drawing/2014/main" id="{00000000-0008-0000-0F00-000003000000}"/>
            </a:ext>
          </a:extLst>
        </xdr:cNvPr>
        <xdr:cNvSpPr>
          <a:spLocks noChangeArrowheads="1" noChangeShapeType="1" noTextEdit="1"/>
        </xdr:cNvSpPr>
      </xdr:nvSpPr>
      <xdr:spPr bwMode="auto">
        <a:xfrm rot="-1901536">
          <a:off x="752475" y="79876650"/>
          <a:ext cx="449580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114</xdr:row>
      <xdr:rowOff>0</xdr:rowOff>
    </xdr:from>
    <xdr:to>
      <xdr:col>7</xdr:col>
      <xdr:colOff>762000</xdr:colOff>
      <xdr:row>114</xdr:row>
      <xdr:rowOff>0</xdr:rowOff>
    </xdr:to>
    <xdr:sp macro="" textlink="">
      <xdr:nvSpPr>
        <xdr:cNvPr id="3" name="WordArt 8">
          <a:extLst>
            <a:ext uri="{FF2B5EF4-FFF2-40B4-BE49-F238E27FC236}">
              <a16:creationId xmlns:a16="http://schemas.microsoft.com/office/drawing/2014/main" id="{00000000-0008-0000-0F00-000004000000}"/>
            </a:ext>
          </a:extLst>
        </xdr:cNvPr>
        <xdr:cNvSpPr>
          <a:spLocks noChangeArrowheads="1" noChangeShapeType="1" noTextEdit="1"/>
        </xdr:cNvSpPr>
      </xdr:nvSpPr>
      <xdr:spPr bwMode="auto">
        <a:xfrm rot="-1901536">
          <a:off x="752475" y="79876650"/>
          <a:ext cx="449580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238125</xdr:colOff>
      <xdr:row>443</xdr:row>
      <xdr:rowOff>0</xdr:rowOff>
    </xdr:from>
    <xdr:to>
      <xdr:col>7</xdr:col>
      <xdr:colOff>762000</xdr:colOff>
      <xdr:row>443</xdr:row>
      <xdr:rowOff>0</xdr:rowOff>
    </xdr:to>
    <xdr:sp macro="" textlink="">
      <xdr:nvSpPr>
        <xdr:cNvPr id="2" name="WordArt 5">
          <a:extLst>
            <a:ext uri="{FF2B5EF4-FFF2-40B4-BE49-F238E27FC236}">
              <a16:creationId xmlns:a16="http://schemas.microsoft.com/office/drawing/2014/main" id="{00000000-0008-0000-0F00-000003000000}"/>
            </a:ext>
          </a:extLst>
        </xdr:cNvPr>
        <xdr:cNvSpPr>
          <a:spLocks noChangeArrowheads="1" noChangeShapeType="1" noTextEdit="1"/>
        </xdr:cNvSpPr>
      </xdr:nvSpPr>
      <xdr:spPr bwMode="auto">
        <a:xfrm rot="-1901536">
          <a:off x="641985" y="72298560"/>
          <a:ext cx="460819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443</xdr:row>
      <xdr:rowOff>0</xdr:rowOff>
    </xdr:from>
    <xdr:to>
      <xdr:col>7</xdr:col>
      <xdr:colOff>762000</xdr:colOff>
      <xdr:row>443</xdr:row>
      <xdr:rowOff>0</xdr:rowOff>
    </xdr:to>
    <xdr:sp macro="" textlink="">
      <xdr:nvSpPr>
        <xdr:cNvPr id="3" name="WordArt 8">
          <a:extLst>
            <a:ext uri="{FF2B5EF4-FFF2-40B4-BE49-F238E27FC236}">
              <a16:creationId xmlns:a16="http://schemas.microsoft.com/office/drawing/2014/main" id="{00000000-0008-0000-0F00-000004000000}"/>
            </a:ext>
          </a:extLst>
        </xdr:cNvPr>
        <xdr:cNvSpPr>
          <a:spLocks noChangeArrowheads="1" noChangeShapeType="1" noTextEdit="1"/>
        </xdr:cNvSpPr>
      </xdr:nvSpPr>
      <xdr:spPr bwMode="auto">
        <a:xfrm rot="-1901536">
          <a:off x="641985" y="72298560"/>
          <a:ext cx="460819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238125</xdr:colOff>
      <xdr:row>413</xdr:row>
      <xdr:rowOff>0</xdr:rowOff>
    </xdr:from>
    <xdr:to>
      <xdr:col>7</xdr:col>
      <xdr:colOff>762000</xdr:colOff>
      <xdr:row>413</xdr:row>
      <xdr:rowOff>0</xdr:rowOff>
    </xdr:to>
    <xdr:sp macro="" textlink="">
      <xdr:nvSpPr>
        <xdr:cNvPr id="3" name="WordArt 5">
          <a:extLst>
            <a:ext uri="{FF2B5EF4-FFF2-40B4-BE49-F238E27FC236}">
              <a16:creationId xmlns:a16="http://schemas.microsoft.com/office/drawing/2014/main" id="{00000000-0008-0000-0F00-000003000000}"/>
            </a:ext>
          </a:extLst>
        </xdr:cNvPr>
        <xdr:cNvSpPr>
          <a:spLocks noChangeArrowheads="1" noChangeShapeType="1" noTextEdit="1"/>
        </xdr:cNvSpPr>
      </xdr:nvSpPr>
      <xdr:spPr bwMode="auto">
        <a:xfrm rot="-1901536">
          <a:off x="628650" y="85725000"/>
          <a:ext cx="401955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413</xdr:row>
      <xdr:rowOff>0</xdr:rowOff>
    </xdr:from>
    <xdr:to>
      <xdr:col>7</xdr:col>
      <xdr:colOff>762000</xdr:colOff>
      <xdr:row>413</xdr:row>
      <xdr:rowOff>0</xdr:rowOff>
    </xdr:to>
    <xdr:sp macro="" textlink="">
      <xdr:nvSpPr>
        <xdr:cNvPr id="4" name="WordArt 8">
          <a:extLst>
            <a:ext uri="{FF2B5EF4-FFF2-40B4-BE49-F238E27FC236}">
              <a16:creationId xmlns:a16="http://schemas.microsoft.com/office/drawing/2014/main" id="{00000000-0008-0000-0F00-000004000000}"/>
            </a:ext>
          </a:extLst>
        </xdr:cNvPr>
        <xdr:cNvSpPr>
          <a:spLocks noChangeArrowheads="1" noChangeShapeType="1" noTextEdit="1"/>
        </xdr:cNvSpPr>
      </xdr:nvSpPr>
      <xdr:spPr bwMode="auto">
        <a:xfrm rot="-1901536">
          <a:off x="628650" y="85725000"/>
          <a:ext cx="401955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238125</xdr:colOff>
      <xdr:row>462</xdr:row>
      <xdr:rowOff>0</xdr:rowOff>
    </xdr:from>
    <xdr:to>
      <xdr:col>7</xdr:col>
      <xdr:colOff>762000</xdr:colOff>
      <xdr:row>462</xdr:row>
      <xdr:rowOff>0</xdr:rowOff>
    </xdr:to>
    <xdr:sp macro="" textlink="">
      <xdr:nvSpPr>
        <xdr:cNvPr id="2" name="WordArt 1">
          <a:extLst>
            <a:ext uri="{FF2B5EF4-FFF2-40B4-BE49-F238E27FC236}">
              <a16:creationId xmlns:a16="http://schemas.microsoft.com/office/drawing/2014/main" id="{00000000-0008-0000-1000-000002000000}"/>
            </a:ext>
          </a:extLst>
        </xdr:cNvPr>
        <xdr:cNvSpPr>
          <a:spLocks noChangeArrowheads="1" noChangeShapeType="1" noTextEdit="1"/>
        </xdr:cNvSpPr>
      </xdr:nvSpPr>
      <xdr:spPr bwMode="auto">
        <a:xfrm rot="-1901536">
          <a:off x="628650" y="74171175"/>
          <a:ext cx="39719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464</xdr:row>
      <xdr:rowOff>0</xdr:rowOff>
    </xdr:from>
    <xdr:to>
      <xdr:col>7</xdr:col>
      <xdr:colOff>762000</xdr:colOff>
      <xdr:row>464</xdr:row>
      <xdr:rowOff>0</xdr:rowOff>
    </xdr:to>
    <xdr:sp macro="" textlink="">
      <xdr:nvSpPr>
        <xdr:cNvPr id="3" name="WordArt 5">
          <a:extLst>
            <a:ext uri="{FF2B5EF4-FFF2-40B4-BE49-F238E27FC236}">
              <a16:creationId xmlns:a16="http://schemas.microsoft.com/office/drawing/2014/main" id="{00000000-0008-0000-1000-000003000000}"/>
            </a:ext>
          </a:extLst>
        </xdr:cNvPr>
        <xdr:cNvSpPr>
          <a:spLocks noChangeArrowheads="1" noChangeShapeType="1" noTextEdit="1"/>
        </xdr:cNvSpPr>
      </xdr:nvSpPr>
      <xdr:spPr bwMode="auto">
        <a:xfrm rot="-1901536">
          <a:off x="628650" y="75257025"/>
          <a:ext cx="39719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464</xdr:row>
      <xdr:rowOff>0</xdr:rowOff>
    </xdr:from>
    <xdr:to>
      <xdr:col>7</xdr:col>
      <xdr:colOff>762000</xdr:colOff>
      <xdr:row>464</xdr:row>
      <xdr:rowOff>0</xdr:rowOff>
    </xdr:to>
    <xdr:sp macro="" textlink="">
      <xdr:nvSpPr>
        <xdr:cNvPr id="4" name="WordArt 8">
          <a:extLst>
            <a:ext uri="{FF2B5EF4-FFF2-40B4-BE49-F238E27FC236}">
              <a16:creationId xmlns:a16="http://schemas.microsoft.com/office/drawing/2014/main" id="{00000000-0008-0000-1000-000004000000}"/>
            </a:ext>
          </a:extLst>
        </xdr:cNvPr>
        <xdr:cNvSpPr>
          <a:spLocks noChangeArrowheads="1" noChangeShapeType="1" noTextEdit="1"/>
        </xdr:cNvSpPr>
      </xdr:nvSpPr>
      <xdr:spPr bwMode="auto">
        <a:xfrm rot="-1901536">
          <a:off x="628650" y="75257025"/>
          <a:ext cx="3971925"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35</xdr:col>
      <xdr:colOff>452491</xdr:colOff>
      <xdr:row>7</xdr:row>
      <xdr:rowOff>189388</xdr:rowOff>
    </xdr:from>
    <xdr:ext cx="937629" cy="9745553"/>
    <xdr:sp macro="" textlink="">
      <xdr:nvSpPr>
        <xdr:cNvPr id="2" name="Rechteck 1">
          <a:extLst>
            <a:ext uri="{FF2B5EF4-FFF2-40B4-BE49-F238E27FC236}">
              <a16:creationId xmlns:a16="http://schemas.microsoft.com/office/drawing/2014/main" id="{00000000-0008-0000-1600-000002000000}"/>
            </a:ext>
          </a:extLst>
        </xdr:cNvPr>
        <xdr:cNvSpPr/>
      </xdr:nvSpPr>
      <xdr:spPr>
        <a:xfrm rot="18431147">
          <a:off x="26346591" y="6295007"/>
          <a:ext cx="9745553" cy="937629"/>
        </a:xfrm>
        <a:prstGeom prst="rect">
          <a:avLst/>
        </a:prstGeom>
        <a:noFill/>
      </xdr:spPr>
      <xdr:txBody>
        <a:bodyPr wrap="none" lIns="91440" tIns="45720" rIns="91440" bIns="45720">
          <a:spAutoFit/>
        </a:bodyPr>
        <a:lstStyle/>
        <a:p>
          <a:pPr algn="ctr"/>
          <a:r>
            <a:rPr lang="de-DE" sz="5400" b="1" cap="none" spc="50">
              <a:ln w="0"/>
              <a:solidFill>
                <a:schemeClr val="bg2"/>
              </a:solidFill>
              <a:effectLst>
                <a:innerShdw blurRad="63500" dist="50800" dir="13500000">
                  <a:srgbClr val="000000">
                    <a:alpha val="50000"/>
                  </a:srgbClr>
                </a:innerShdw>
              </a:effectLst>
            </a:rPr>
            <a:t>Ergebnis Pauschalfortschreibung</a:t>
          </a:r>
        </a:p>
      </xdr:txBody>
    </xdr:sp>
    <xdr:clientData/>
  </xdr:oneCellAnchor>
  <xdr:oneCellAnchor>
    <xdr:from>
      <xdr:col>30</xdr:col>
      <xdr:colOff>523775</xdr:colOff>
      <xdr:row>13</xdr:row>
      <xdr:rowOff>112302</xdr:rowOff>
    </xdr:from>
    <xdr:ext cx="937629" cy="6753260"/>
    <xdr:sp macro="" textlink="">
      <xdr:nvSpPr>
        <xdr:cNvPr id="3" name="Rechteck 2">
          <a:extLst>
            <a:ext uri="{FF2B5EF4-FFF2-40B4-BE49-F238E27FC236}">
              <a16:creationId xmlns:a16="http://schemas.microsoft.com/office/drawing/2014/main" id="{00000000-0008-0000-1600-000003000000}"/>
            </a:ext>
          </a:extLst>
        </xdr:cNvPr>
        <xdr:cNvSpPr/>
      </xdr:nvSpPr>
      <xdr:spPr>
        <a:xfrm rot="18606220">
          <a:off x="24114724" y="6048853"/>
          <a:ext cx="6753260" cy="937629"/>
        </a:xfrm>
        <a:prstGeom prst="rect">
          <a:avLst/>
        </a:prstGeom>
        <a:noFill/>
      </xdr:spPr>
      <xdr:txBody>
        <a:bodyPr wrap="none" lIns="91440" tIns="45720" rIns="91440" bIns="45720">
          <a:spAutoFit/>
        </a:bodyPr>
        <a:lstStyle/>
        <a:p>
          <a:pPr algn="ctr"/>
          <a:r>
            <a:rPr lang="de-DE" sz="5400" b="1" cap="none" spc="50">
              <a:ln w="0"/>
              <a:solidFill>
                <a:schemeClr val="bg2"/>
              </a:solidFill>
              <a:effectLst>
                <a:innerShdw blurRad="63500" dist="50800" dir="13500000">
                  <a:srgbClr val="000000">
                    <a:alpha val="50000"/>
                  </a:srgbClr>
                </a:innerShdw>
              </a:effectLst>
            </a:rPr>
            <a:t>Verhandlungsergebnis</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2</xdr:col>
      <xdr:colOff>238125</xdr:colOff>
      <xdr:row>227</xdr:row>
      <xdr:rowOff>0</xdr:rowOff>
    </xdr:from>
    <xdr:to>
      <xdr:col>7</xdr:col>
      <xdr:colOff>762000</xdr:colOff>
      <xdr:row>227</xdr:row>
      <xdr:rowOff>0</xdr:rowOff>
    </xdr:to>
    <xdr:sp macro="" textlink="">
      <xdr:nvSpPr>
        <xdr:cNvPr id="3" name="WordArt 5">
          <a:extLst>
            <a:ext uri="{FF2B5EF4-FFF2-40B4-BE49-F238E27FC236}">
              <a16:creationId xmlns:a16="http://schemas.microsoft.com/office/drawing/2014/main" id="{00000000-0008-0000-1B00-000003000000}"/>
            </a:ext>
          </a:extLst>
        </xdr:cNvPr>
        <xdr:cNvSpPr>
          <a:spLocks noChangeArrowheads="1" noChangeShapeType="1" noTextEdit="1"/>
        </xdr:cNvSpPr>
      </xdr:nvSpPr>
      <xdr:spPr bwMode="auto">
        <a:xfrm rot="-1901536">
          <a:off x="628650" y="85363050"/>
          <a:ext cx="401955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twoCellAnchor>
    <xdr:from>
      <xdr:col>2</xdr:col>
      <xdr:colOff>238125</xdr:colOff>
      <xdr:row>227</xdr:row>
      <xdr:rowOff>0</xdr:rowOff>
    </xdr:from>
    <xdr:to>
      <xdr:col>7</xdr:col>
      <xdr:colOff>762000</xdr:colOff>
      <xdr:row>227</xdr:row>
      <xdr:rowOff>0</xdr:rowOff>
    </xdr:to>
    <xdr:sp macro="" textlink="">
      <xdr:nvSpPr>
        <xdr:cNvPr id="4" name="WordArt 8">
          <a:extLst>
            <a:ext uri="{FF2B5EF4-FFF2-40B4-BE49-F238E27FC236}">
              <a16:creationId xmlns:a16="http://schemas.microsoft.com/office/drawing/2014/main" id="{00000000-0008-0000-1B00-000004000000}"/>
            </a:ext>
          </a:extLst>
        </xdr:cNvPr>
        <xdr:cNvSpPr>
          <a:spLocks noChangeArrowheads="1" noChangeShapeType="1" noTextEdit="1"/>
        </xdr:cNvSpPr>
      </xdr:nvSpPr>
      <xdr:spPr bwMode="auto">
        <a:xfrm rot="-1901536">
          <a:off x="628650" y="85363050"/>
          <a:ext cx="4019550" cy="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de-DE" sz="5400" b="1" kern="10" spc="0">
              <a:ln>
                <a:noFill/>
              </a:ln>
              <a:solidFill>
                <a:srgbClr val="EAEAEA">
                  <a:alpha val="50000"/>
                </a:srgbClr>
              </a:solidFill>
              <a:effectLst/>
              <a:latin typeface="Comic Sans MS"/>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5</xdr:row>
      <xdr:rowOff>123825</xdr:rowOff>
    </xdr:from>
    <xdr:to>
      <xdr:col>19</xdr:col>
      <xdr:colOff>260350</xdr:colOff>
      <xdr:row>7</xdr:row>
      <xdr:rowOff>19050</xdr:rowOff>
    </xdr:to>
    <xdr:pic>
      <xdr:nvPicPr>
        <xdr:cNvPr id="2" name="Picture 13">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33450"/>
          <a:ext cx="92519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0</xdr:row>
      <xdr:rowOff>0</xdr:rowOff>
    </xdr:from>
    <xdr:to>
      <xdr:col>3</xdr:col>
      <xdr:colOff>279400</xdr:colOff>
      <xdr:row>3</xdr:row>
      <xdr:rowOff>117475</xdr:rowOff>
    </xdr:to>
    <xdr:pic>
      <xdr:nvPicPr>
        <xdr:cNvPr id="12" name="Bild 2" descr="BKK_Logo_LV_Nordwest_Brief">
          <a:extLst>
            <a:ext uri="{FF2B5EF4-FFF2-40B4-BE49-F238E27FC236}">
              <a16:creationId xmlns:a16="http://schemas.microsoft.com/office/drawing/2014/main" id="{00000000-0008-0000-1C00-00000C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200" y="0"/>
          <a:ext cx="603250" cy="603250"/>
        </a:xfrm>
        <a:prstGeom prst="rect">
          <a:avLst/>
        </a:prstGeom>
        <a:noFill/>
        <a:ln>
          <a:noFill/>
        </a:ln>
      </xdr:spPr>
    </xdr:pic>
    <xdr:clientData/>
  </xdr:twoCellAnchor>
  <xdr:twoCellAnchor editAs="oneCell">
    <xdr:from>
      <xdr:col>3</xdr:col>
      <xdr:colOff>304800</xdr:colOff>
      <xdr:row>0</xdr:row>
      <xdr:rowOff>104775</xdr:rowOff>
    </xdr:from>
    <xdr:to>
      <xdr:col>6</xdr:col>
      <xdr:colOff>76200</xdr:colOff>
      <xdr:row>2</xdr:row>
      <xdr:rowOff>66675</xdr:rowOff>
    </xdr:to>
    <xdr:pic>
      <xdr:nvPicPr>
        <xdr:cNvPr id="13" name="Bild 20" descr="IKKclassic_Logo_Brief">
          <a:extLst>
            <a:ext uri="{FF2B5EF4-FFF2-40B4-BE49-F238E27FC236}">
              <a16:creationId xmlns:a16="http://schemas.microsoft.com/office/drawing/2014/main" id="{00000000-0008-0000-1C00-00000D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6850" y="104775"/>
          <a:ext cx="914400" cy="285750"/>
        </a:xfrm>
        <a:prstGeom prst="rect">
          <a:avLst/>
        </a:prstGeom>
        <a:noFill/>
      </xdr:spPr>
    </xdr:pic>
    <xdr:clientData/>
  </xdr:twoCellAnchor>
  <xdr:twoCellAnchor editAs="oneCell">
    <xdr:from>
      <xdr:col>6</xdr:col>
      <xdr:colOff>133350</xdr:colOff>
      <xdr:row>0</xdr:row>
      <xdr:rowOff>142875</xdr:rowOff>
    </xdr:from>
    <xdr:to>
      <xdr:col>9</xdr:col>
      <xdr:colOff>220345</xdr:colOff>
      <xdr:row>2</xdr:row>
      <xdr:rowOff>142875</xdr:rowOff>
    </xdr:to>
    <xdr:pic>
      <xdr:nvPicPr>
        <xdr:cNvPr id="14" name="Bild 21">
          <a:extLst>
            <a:ext uri="{FF2B5EF4-FFF2-40B4-BE49-F238E27FC236}">
              <a16:creationId xmlns:a16="http://schemas.microsoft.com/office/drawing/2014/main" id="{00000000-0008-0000-1C00-00000E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438400" y="142875"/>
          <a:ext cx="1229995" cy="323850"/>
        </a:xfrm>
        <a:prstGeom prst="rect">
          <a:avLst/>
        </a:prstGeom>
        <a:noFill/>
      </xdr:spPr>
    </xdr:pic>
    <xdr:clientData/>
  </xdr:twoCellAnchor>
  <xdr:twoCellAnchor editAs="oneCell">
    <xdr:from>
      <xdr:col>9</xdr:col>
      <xdr:colOff>323850</xdr:colOff>
      <xdr:row>0</xdr:row>
      <xdr:rowOff>76200</xdr:rowOff>
    </xdr:from>
    <xdr:to>
      <xdr:col>12</xdr:col>
      <xdr:colOff>142875</xdr:colOff>
      <xdr:row>2</xdr:row>
      <xdr:rowOff>139700</xdr:rowOff>
    </xdr:to>
    <xdr:pic>
      <xdr:nvPicPr>
        <xdr:cNvPr id="15" name="Bild 3" descr="logo_svlfg_lkk_rgb_groesser">
          <a:extLst>
            <a:ext uri="{FF2B5EF4-FFF2-40B4-BE49-F238E27FC236}">
              <a16:creationId xmlns:a16="http://schemas.microsoft.com/office/drawing/2014/main" id="{00000000-0008-0000-1C00-00000F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71900" y="76200"/>
          <a:ext cx="1028700" cy="387350"/>
        </a:xfrm>
        <a:prstGeom prst="rect">
          <a:avLst/>
        </a:prstGeom>
        <a:noFill/>
        <a:ln>
          <a:noFill/>
        </a:ln>
      </xdr:spPr>
    </xdr:pic>
    <xdr:clientData/>
  </xdr:twoCellAnchor>
  <xdr:twoCellAnchor editAs="oneCell">
    <xdr:from>
      <xdr:col>12</xdr:col>
      <xdr:colOff>161925</xdr:colOff>
      <xdr:row>0</xdr:row>
      <xdr:rowOff>104775</xdr:rowOff>
    </xdr:from>
    <xdr:to>
      <xdr:col>14</xdr:col>
      <xdr:colOff>473075</xdr:colOff>
      <xdr:row>2</xdr:row>
      <xdr:rowOff>149225</xdr:rowOff>
    </xdr:to>
    <xdr:pic>
      <xdr:nvPicPr>
        <xdr:cNvPr id="16" name="Bild 4" descr="http://www.vdek.com/vdek_Logo_RGB45036.jpg">
          <a:extLst>
            <a:ext uri="{FF2B5EF4-FFF2-40B4-BE49-F238E27FC236}">
              <a16:creationId xmlns:a16="http://schemas.microsoft.com/office/drawing/2014/main" id="{00000000-0008-0000-1C00-000010000000}"/>
            </a:ext>
          </a:extLst>
        </xdr:cNvPr>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rcRect/>
        <a:stretch>
          <a:fillRect/>
        </a:stretch>
      </xdr:blipFill>
      <xdr:spPr bwMode="auto">
        <a:xfrm>
          <a:off x="4819650" y="104775"/>
          <a:ext cx="1073150" cy="368300"/>
        </a:xfrm>
        <a:prstGeom prst="rect">
          <a:avLst/>
        </a:prstGeom>
        <a:noFill/>
        <a:ln>
          <a:noFill/>
        </a:ln>
      </xdr:spPr>
    </xdr:pic>
    <xdr:clientData/>
  </xdr:twoCellAnchor>
  <xdr:twoCellAnchor editAs="oneCell">
    <xdr:from>
      <xdr:col>0</xdr:col>
      <xdr:colOff>0</xdr:colOff>
      <xdr:row>1</xdr:row>
      <xdr:rowOff>9525</xdr:rowOff>
    </xdr:from>
    <xdr:to>
      <xdr:col>2</xdr:col>
      <xdr:colOff>9525</xdr:colOff>
      <xdr:row>2</xdr:row>
      <xdr:rowOff>95250</xdr:rowOff>
    </xdr:to>
    <xdr:pic>
      <xdr:nvPicPr>
        <xdr:cNvPr id="10" name="Grafik 9">
          <a:extLst>
            <a:ext uri="{FF2B5EF4-FFF2-40B4-BE49-F238E27FC236}">
              <a16:creationId xmlns:a16="http://schemas.microsoft.com/office/drawing/2014/main" id="{00000000-0008-0000-1C00-00000A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71450"/>
          <a:ext cx="790575" cy="24765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4</xdr:row>
      <xdr:rowOff>0</xdr:rowOff>
    </xdr:from>
    <xdr:to>
      <xdr:col>6</xdr:col>
      <xdr:colOff>762000</xdr:colOff>
      <xdr:row>9</xdr:row>
      <xdr:rowOff>0</xdr:rowOff>
    </xdr:to>
    <xdr:sp macro="" textlink="">
      <xdr:nvSpPr>
        <xdr:cNvPr id="26676" name="Rectangle 1">
          <a:extLst>
            <a:ext uri="{FF2B5EF4-FFF2-40B4-BE49-F238E27FC236}">
              <a16:creationId xmlns:a16="http://schemas.microsoft.com/office/drawing/2014/main" id="{00000000-0008-0000-2400-000034680000}"/>
            </a:ext>
          </a:extLst>
        </xdr:cNvPr>
        <xdr:cNvSpPr>
          <a:spLocks noChangeArrowheads="1"/>
        </xdr:cNvSpPr>
      </xdr:nvSpPr>
      <xdr:spPr bwMode="auto">
        <a:xfrm>
          <a:off x="0" y="652096"/>
          <a:ext cx="5385288" cy="490904"/>
        </a:xfrm>
        <a:prstGeom prst="rect">
          <a:avLst/>
        </a:prstGeom>
        <a:noFill/>
        <a:ln w="9525">
          <a:solidFill>
            <a:srgbClr val="000000"/>
          </a:solidFill>
          <a:miter lim="800000"/>
          <a:headEnd/>
          <a:tailEnd/>
        </a:ln>
        <a:effectLst>
          <a:outerShdw dist="107763" dir="135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228600</xdr:colOff>
          <xdr:row>11</xdr:row>
          <xdr:rowOff>133350</xdr:rowOff>
        </xdr:from>
        <xdr:to>
          <xdr:col>6</xdr:col>
          <xdr:colOff>533400</xdr:colOff>
          <xdr:row>13</xdr:row>
          <xdr:rowOff>28575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2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133350</xdr:rowOff>
        </xdr:from>
        <xdr:to>
          <xdr:col>6</xdr:col>
          <xdr:colOff>533400</xdr:colOff>
          <xdr:row>15</xdr:row>
          <xdr:rowOff>28575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2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533400</xdr:colOff>
          <xdr:row>17</xdr:row>
          <xdr:rowOff>28575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2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133350</xdr:rowOff>
        </xdr:from>
        <xdr:to>
          <xdr:col>6</xdr:col>
          <xdr:colOff>533400</xdr:colOff>
          <xdr:row>19</xdr:row>
          <xdr:rowOff>28575</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2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6</xdr:col>
          <xdr:colOff>533400</xdr:colOff>
          <xdr:row>21</xdr:row>
          <xdr:rowOff>28575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2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133350</xdr:rowOff>
        </xdr:from>
        <xdr:to>
          <xdr:col>6</xdr:col>
          <xdr:colOff>533400</xdr:colOff>
          <xdr:row>23</xdr:row>
          <xdr:rowOff>28575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24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23</xdr:row>
          <xdr:rowOff>133350</xdr:rowOff>
        </xdr:from>
        <xdr:to>
          <xdr:col>6</xdr:col>
          <xdr:colOff>533400</xdr:colOff>
          <xdr:row>25</xdr:row>
          <xdr:rowOff>28575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24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133350</xdr:rowOff>
        </xdr:from>
        <xdr:to>
          <xdr:col>6</xdr:col>
          <xdr:colOff>533400</xdr:colOff>
          <xdr:row>27</xdr:row>
          <xdr:rowOff>28575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24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133350</xdr:rowOff>
        </xdr:from>
        <xdr:to>
          <xdr:col>6</xdr:col>
          <xdr:colOff>533400</xdr:colOff>
          <xdr:row>29</xdr:row>
          <xdr:rowOff>28575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24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133350</xdr:rowOff>
        </xdr:from>
        <xdr:to>
          <xdr:col>6</xdr:col>
          <xdr:colOff>533400</xdr:colOff>
          <xdr:row>31</xdr:row>
          <xdr:rowOff>28575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24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31</xdr:row>
          <xdr:rowOff>133350</xdr:rowOff>
        </xdr:from>
        <xdr:to>
          <xdr:col>6</xdr:col>
          <xdr:colOff>533400</xdr:colOff>
          <xdr:row>33</xdr:row>
          <xdr:rowOff>28575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24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4</xdr:row>
      <xdr:rowOff>0</xdr:rowOff>
    </xdr:from>
    <xdr:to>
      <xdr:col>6</xdr:col>
      <xdr:colOff>762000</xdr:colOff>
      <xdr:row>9</xdr:row>
      <xdr:rowOff>0</xdr:rowOff>
    </xdr:to>
    <xdr:sp macro="" textlink="">
      <xdr:nvSpPr>
        <xdr:cNvPr id="16" name="Rectangle 1">
          <a:extLst>
            <a:ext uri="{FF2B5EF4-FFF2-40B4-BE49-F238E27FC236}">
              <a16:creationId xmlns:a16="http://schemas.microsoft.com/office/drawing/2014/main" id="{00000000-0008-0000-2400-000010000000}"/>
            </a:ext>
          </a:extLst>
        </xdr:cNvPr>
        <xdr:cNvSpPr>
          <a:spLocks noChangeArrowheads="1"/>
        </xdr:cNvSpPr>
      </xdr:nvSpPr>
      <xdr:spPr bwMode="auto">
        <a:xfrm>
          <a:off x="0" y="657225"/>
          <a:ext cx="5381625" cy="495300"/>
        </a:xfrm>
        <a:prstGeom prst="rect">
          <a:avLst/>
        </a:prstGeom>
        <a:noFill/>
        <a:ln w="9525">
          <a:solidFill>
            <a:srgbClr val="000000"/>
          </a:solidFill>
          <a:miter lim="800000"/>
          <a:headEnd/>
          <a:tailEnd/>
        </a:ln>
        <a:effectLst>
          <a:outerShdw dist="107763" dir="135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6</xdr:col>
          <xdr:colOff>228600</xdr:colOff>
          <xdr:row>11</xdr:row>
          <xdr:rowOff>133350</xdr:rowOff>
        </xdr:from>
        <xdr:to>
          <xdr:col>6</xdr:col>
          <xdr:colOff>533400</xdr:colOff>
          <xdr:row>13</xdr:row>
          <xdr:rowOff>28575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24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133350</xdr:rowOff>
        </xdr:from>
        <xdr:to>
          <xdr:col>6</xdr:col>
          <xdr:colOff>533400</xdr:colOff>
          <xdr:row>15</xdr:row>
          <xdr:rowOff>28575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24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133350</xdr:rowOff>
        </xdr:from>
        <xdr:to>
          <xdr:col>6</xdr:col>
          <xdr:colOff>533400</xdr:colOff>
          <xdr:row>17</xdr:row>
          <xdr:rowOff>28575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24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133350</xdr:rowOff>
        </xdr:from>
        <xdr:to>
          <xdr:col>6</xdr:col>
          <xdr:colOff>533400</xdr:colOff>
          <xdr:row>19</xdr:row>
          <xdr:rowOff>28575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24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133350</xdr:rowOff>
        </xdr:from>
        <xdr:to>
          <xdr:col>6</xdr:col>
          <xdr:colOff>533400</xdr:colOff>
          <xdr:row>21</xdr:row>
          <xdr:rowOff>28575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24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21</xdr:row>
          <xdr:rowOff>133350</xdr:rowOff>
        </xdr:from>
        <xdr:to>
          <xdr:col>6</xdr:col>
          <xdr:colOff>533400</xdr:colOff>
          <xdr:row>23</xdr:row>
          <xdr:rowOff>28575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24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23</xdr:row>
          <xdr:rowOff>133350</xdr:rowOff>
        </xdr:from>
        <xdr:to>
          <xdr:col>6</xdr:col>
          <xdr:colOff>533400</xdr:colOff>
          <xdr:row>25</xdr:row>
          <xdr:rowOff>28575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24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25</xdr:row>
          <xdr:rowOff>133350</xdr:rowOff>
        </xdr:from>
        <xdr:to>
          <xdr:col>6</xdr:col>
          <xdr:colOff>533400</xdr:colOff>
          <xdr:row>27</xdr:row>
          <xdr:rowOff>28575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24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27</xdr:row>
          <xdr:rowOff>133350</xdr:rowOff>
        </xdr:from>
        <xdr:to>
          <xdr:col>6</xdr:col>
          <xdr:colOff>533400</xdr:colOff>
          <xdr:row>29</xdr:row>
          <xdr:rowOff>28575</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24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29</xdr:row>
          <xdr:rowOff>133350</xdr:rowOff>
        </xdr:from>
        <xdr:to>
          <xdr:col>6</xdr:col>
          <xdr:colOff>533400</xdr:colOff>
          <xdr:row>31</xdr:row>
          <xdr:rowOff>28575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24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31</xdr:row>
          <xdr:rowOff>133350</xdr:rowOff>
        </xdr:from>
        <xdr:to>
          <xdr:col>6</xdr:col>
          <xdr:colOff>533400</xdr:colOff>
          <xdr:row>33</xdr:row>
          <xdr:rowOff>28575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24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36</xdr:row>
          <xdr:rowOff>142875</xdr:rowOff>
        </xdr:from>
        <xdr:to>
          <xdr:col>4</xdr:col>
          <xdr:colOff>533400</xdr:colOff>
          <xdr:row>38</xdr:row>
          <xdr:rowOff>38100</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24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36</xdr:row>
          <xdr:rowOff>133350</xdr:rowOff>
        </xdr:from>
        <xdr:to>
          <xdr:col>5</xdr:col>
          <xdr:colOff>581025</xdr:colOff>
          <xdr:row>38</xdr:row>
          <xdr:rowOff>28575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24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33</xdr:row>
          <xdr:rowOff>142875</xdr:rowOff>
        </xdr:from>
        <xdr:to>
          <xdr:col>6</xdr:col>
          <xdr:colOff>533400</xdr:colOff>
          <xdr:row>35</xdr:row>
          <xdr:rowOff>38100</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24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9</xdr:col>
      <xdr:colOff>39688</xdr:colOff>
      <xdr:row>63</xdr:row>
      <xdr:rowOff>119062</xdr:rowOff>
    </xdr:from>
    <xdr:to>
      <xdr:col>11</xdr:col>
      <xdr:colOff>658545</xdr:colOff>
      <xdr:row>70</xdr:row>
      <xdr:rowOff>176038</xdr:rowOff>
    </xdr:to>
    <xdr:pic>
      <xdr:nvPicPr>
        <xdr:cNvPr id="2" name="Grafik 1"/>
        <xdr:cNvPicPr>
          <a:picLocks noChangeAspect="1"/>
        </xdr:cNvPicPr>
      </xdr:nvPicPr>
      <xdr:blipFill>
        <a:blip xmlns:r="http://schemas.openxmlformats.org/officeDocument/2006/relationships" r:embed="rId1"/>
        <a:stretch>
          <a:fillRect/>
        </a:stretch>
      </xdr:blipFill>
      <xdr:spPr>
        <a:xfrm>
          <a:off x="8669338" y="12787312"/>
          <a:ext cx="2142857" cy="1390476"/>
        </a:xfrm>
        <a:prstGeom prst="rect">
          <a:avLst/>
        </a:prstGeom>
      </xdr:spPr>
    </xdr:pic>
    <xdr:clientData/>
  </xdr:twoCellAnchor>
  <xdr:twoCellAnchor>
    <xdr:from>
      <xdr:col>7</xdr:col>
      <xdr:colOff>87314</xdr:colOff>
      <xdr:row>57</xdr:row>
      <xdr:rowOff>119063</xdr:rowOff>
    </xdr:from>
    <xdr:to>
      <xdr:col>7</xdr:col>
      <xdr:colOff>1484312</xdr:colOff>
      <xdr:row>60</xdr:row>
      <xdr:rowOff>47624</xdr:rowOff>
    </xdr:to>
    <xdr:cxnSp macro="">
      <xdr:nvCxnSpPr>
        <xdr:cNvPr id="3" name="Gerade Verbindung mit Pfeil 2"/>
        <xdr:cNvCxnSpPr/>
      </xdr:nvCxnSpPr>
      <xdr:spPr bwMode="auto">
        <a:xfrm flipV="1">
          <a:off x="6683377" y="10215563"/>
          <a:ext cx="1396998" cy="500061"/>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657225</xdr:colOff>
      <xdr:row>14</xdr:row>
      <xdr:rowOff>123825</xdr:rowOff>
    </xdr:from>
    <xdr:to>
      <xdr:col>4</xdr:col>
      <xdr:colOff>571500</xdr:colOff>
      <xdr:row>14</xdr:row>
      <xdr:rowOff>123825</xdr:rowOff>
    </xdr:to>
    <xdr:sp macro="" textlink="">
      <xdr:nvSpPr>
        <xdr:cNvPr id="1113" name="Line 12">
          <a:extLst>
            <a:ext uri="{FF2B5EF4-FFF2-40B4-BE49-F238E27FC236}">
              <a16:creationId xmlns:a16="http://schemas.microsoft.com/office/drawing/2014/main" id="{00000000-0008-0000-0300-000059040000}"/>
            </a:ext>
          </a:extLst>
        </xdr:cNvPr>
        <xdr:cNvSpPr>
          <a:spLocks noChangeShapeType="1"/>
        </xdr:cNvSpPr>
      </xdr:nvSpPr>
      <xdr:spPr bwMode="auto">
        <a:xfrm flipV="1">
          <a:off x="2562225" y="3829050"/>
          <a:ext cx="666750" cy="0"/>
        </a:xfrm>
        <a:prstGeom prst="line">
          <a:avLst/>
        </a:prstGeom>
        <a:noFill/>
        <a:ln w="12700">
          <a:solidFill>
            <a:srgbClr val="3366FF"/>
          </a:solidFill>
          <a:prstDash val="dash"/>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14</xdr:row>
      <xdr:rowOff>0</xdr:rowOff>
    </xdr:from>
    <xdr:to>
      <xdr:col>7</xdr:col>
      <xdr:colOff>0</xdr:colOff>
      <xdr:row>15</xdr:row>
      <xdr:rowOff>0</xdr:rowOff>
    </xdr:to>
    <xdr:cxnSp macro="">
      <xdr:nvCxnSpPr>
        <xdr:cNvPr id="3" name="Gerader Verbinder 2">
          <a:extLst>
            <a:ext uri="{FF2B5EF4-FFF2-40B4-BE49-F238E27FC236}">
              <a16:creationId xmlns:a16="http://schemas.microsoft.com/office/drawing/2014/main" id="{00000000-0008-0000-0300-000003000000}"/>
            </a:ext>
          </a:extLst>
        </xdr:cNvPr>
        <xdr:cNvCxnSpPr/>
      </xdr:nvCxnSpPr>
      <xdr:spPr bwMode="auto">
        <a:xfrm flipV="1">
          <a:off x="4945063" y="3706813"/>
          <a:ext cx="0" cy="230187"/>
        </a:xfrm>
        <a:prstGeom prst="line">
          <a:avLst/>
        </a:prstGeom>
        <a:solidFill>
          <a:srgbClr val="FFFFFF"/>
        </a:solidFill>
        <a:ln w="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793750</xdr:colOff>
      <xdr:row>13</xdr:row>
      <xdr:rowOff>23813</xdr:rowOff>
    </xdr:from>
    <xdr:to>
      <xdr:col>8</xdr:col>
      <xdr:colOff>793750</xdr:colOff>
      <xdr:row>15</xdr:row>
      <xdr:rowOff>127000</xdr:rowOff>
    </xdr:to>
    <xdr:cxnSp macro="">
      <xdr:nvCxnSpPr>
        <xdr:cNvPr id="8" name="Gerader Verbinder 7">
          <a:extLst>
            <a:ext uri="{FF2B5EF4-FFF2-40B4-BE49-F238E27FC236}">
              <a16:creationId xmlns:a16="http://schemas.microsoft.com/office/drawing/2014/main" id="{00000000-0008-0000-0300-000008000000}"/>
            </a:ext>
          </a:extLst>
        </xdr:cNvPr>
        <xdr:cNvCxnSpPr/>
      </xdr:nvCxnSpPr>
      <xdr:spPr bwMode="auto">
        <a:xfrm>
          <a:off x="6492875" y="3460751"/>
          <a:ext cx="0" cy="563562"/>
        </a:xfrm>
        <a:prstGeom prst="line">
          <a:avLst/>
        </a:prstGeom>
        <a:solidFill>
          <a:srgbClr val="FFFFFF"/>
        </a:solidFill>
        <a:ln w="6350"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44</xdr:row>
      <xdr:rowOff>0</xdr:rowOff>
    </xdr:from>
    <xdr:to>
      <xdr:col>7</xdr:col>
      <xdr:colOff>0</xdr:colOff>
      <xdr:row>44</xdr:row>
      <xdr:rowOff>0</xdr:rowOff>
    </xdr:to>
    <xdr:sp macro="" textlink="">
      <xdr:nvSpPr>
        <xdr:cNvPr id="3273" name="Line 1">
          <a:extLst>
            <a:ext uri="{FF2B5EF4-FFF2-40B4-BE49-F238E27FC236}">
              <a16:creationId xmlns:a16="http://schemas.microsoft.com/office/drawing/2014/main" id="{00000000-0008-0000-0600-0000C90C0000}"/>
            </a:ext>
          </a:extLst>
        </xdr:cNvPr>
        <xdr:cNvSpPr>
          <a:spLocks noChangeShapeType="1"/>
        </xdr:cNvSpPr>
      </xdr:nvSpPr>
      <xdr:spPr bwMode="auto">
        <a:xfrm flipH="1">
          <a:off x="4171950" y="10677525"/>
          <a:ext cx="1009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7</xdr:col>
      <xdr:colOff>0</xdr:colOff>
      <xdr:row>44</xdr:row>
      <xdr:rowOff>0</xdr:rowOff>
    </xdr:to>
    <xdr:sp macro="" textlink="">
      <xdr:nvSpPr>
        <xdr:cNvPr id="3274" name="Line 2">
          <a:extLst>
            <a:ext uri="{FF2B5EF4-FFF2-40B4-BE49-F238E27FC236}">
              <a16:creationId xmlns:a16="http://schemas.microsoft.com/office/drawing/2014/main" id="{00000000-0008-0000-0600-0000CA0C0000}"/>
            </a:ext>
          </a:extLst>
        </xdr:cNvPr>
        <xdr:cNvSpPr>
          <a:spLocks noChangeShapeType="1"/>
        </xdr:cNvSpPr>
      </xdr:nvSpPr>
      <xdr:spPr bwMode="auto">
        <a:xfrm>
          <a:off x="4171950" y="10677525"/>
          <a:ext cx="1009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12</xdr:col>
      <xdr:colOff>28575</xdr:colOff>
      <xdr:row>44</xdr:row>
      <xdr:rowOff>0</xdr:rowOff>
    </xdr:to>
    <xdr:sp macro="" textlink="">
      <xdr:nvSpPr>
        <xdr:cNvPr id="3275" name="Line 5">
          <a:extLst>
            <a:ext uri="{FF2B5EF4-FFF2-40B4-BE49-F238E27FC236}">
              <a16:creationId xmlns:a16="http://schemas.microsoft.com/office/drawing/2014/main" id="{00000000-0008-0000-0600-0000CB0C0000}"/>
            </a:ext>
          </a:extLst>
        </xdr:cNvPr>
        <xdr:cNvSpPr>
          <a:spLocks noChangeShapeType="1"/>
        </xdr:cNvSpPr>
      </xdr:nvSpPr>
      <xdr:spPr bwMode="auto">
        <a:xfrm>
          <a:off x="7867650" y="10677525"/>
          <a:ext cx="828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44</xdr:row>
      <xdr:rowOff>0</xdr:rowOff>
    </xdr:from>
    <xdr:to>
      <xdr:col>12</xdr:col>
      <xdr:colOff>0</xdr:colOff>
      <xdr:row>44</xdr:row>
      <xdr:rowOff>0</xdr:rowOff>
    </xdr:to>
    <xdr:sp macro="" textlink="">
      <xdr:nvSpPr>
        <xdr:cNvPr id="3276" name="Line 6">
          <a:extLst>
            <a:ext uri="{FF2B5EF4-FFF2-40B4-BE49-F238E27FC236}">
              <a16:creationId xmlns:a16="http://schemas.microsoft.com/office/drawing/2014/main" id="{00000000-0008-0000-0600-0000CC0C0000}"/>
            </a:ext>
          </a:extLst>
        </xdr:cNvPr>
        <xdr:cNvSpPr>
          <a:spLocks noChangeShapeType="1"/>
        </xdr:cNvSpPr>
      </xdr:nvSpPr>
      <xdr:spPr bwMode="auto">
        <a:xfrm flipH="1">
          <a:off x="7877175" y="10677525"/>
          <a:ext cx="790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44</xdr:row>
      <xdr:rowOff>0</xdr:rowOff>
    </xdr:from>
    <xdr:to>
      <xdr:col>12</xdr:col>
      <xdr:colOff>581025</xdr:colOff>
      <xdr:row>44</xdr:row>
      <xdr:rowOff>0</xdr:rowOff>
    </xdr:to>
    <xdr:sp macro="" textlink="">
      <xdr:nvSpPr>
        <xdr:cNvPr id="3277" name="Line 7">
          <a:extLst>
            <a:ext uri="{FF2B5EF4-FFF2-40B4-BE49-F238E27FC236}">
              <a16:creationId xmlns:a16="http://schemas.microsoft.com/office/drawing/2014/main" id="{00000000-0008-0000-0600-0000CD0C0000}"/>
            </a:ext>
          </a:extLst>
        </xdr:cNvPr>
        <xdr:cNvSpPr>
          <a:spLocks noChangeShapeType="1"/>
        </xdr:cNvSpPr>
      </xdr:nvSpPr>
      <xdr:spPr bwMode="auto">
        <a:xfrm>
          <a:off x="8677275" y="10677525"/>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44</xdr:row>
      <xdr:rowOff>0</xdr:rowOff>
    </xdr:from>
    <xdr:to>
      <xdr:col>4</xdr:col>
      <xdr:colOff>695325</xdr:colOff>
      <xdr:row>44</xdr:row>
      <xdr:rowOff>0</xdr:rowOff>
    </xdr:to>
    <xdr:sp macro="" textlink="">
      <xdr:nvSpPr>
        <xdr:cNvPr id="3278" name="Line 10">
          <a:extLst>
            <a:ext uri="{FF2B5EF4-FFF2-40B4-BE49-F238E27FC236}">
              <a16:creationId xmlns:a16="http://schemas.microsoft.com/office/drawing/2014/main" id="{00000000-0008-0000-0600-0000CE0C0000}"/>
            </a:ext>
          </a:extLst>
        </xdr:cNvPr>
        <xdr:cNvSpPr>
          <a:spLocks noChangeShapeType="1"/>
        </xdr:cNvSpPr>
      </xdr:nvSpPr>
      <xdr:spPr bwMode="auto">
        <a:xfrm>
          <a:off x="3314700" y="10677525"/>
          <a:ext cx="695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981075</xdr:colOff>
      <xdr:row>44</xdr:row>
      <xdr:rowOff>0</xdr:rowOff>
    </xdr:from>
    <xdr:to>
      <xdr:col>5</xdr:col>
      <xdr:colOff>0</xdr:colOff>
      <xdr:row>44</xdr:row>
      <xdr:rowOff>0</xdr:rowOff>
    </xdr:to>
    <xdr:sp macro="" textlink="">
      <xdr:nvSpPr>
        <xdr:cNvPr id="3279" name="Line 11">
          <a:extLst>
            <a:ext uri="{FF2B5EF4-FFF2-40B4-BE49-F238E27FC236}">
              <a16:creationId xmlns:a16="http://schemas.microsoft.com/office/drawing/2014/main" id="{00000000-0008-0000-0600-0000CF0C0000}"/>
            </a:ext>
          </a:extLst>
        </xdr:cNvPr>
        <xdr:cNvSpPr>
          <a:spLocks noChangeShapeType="1"/>
        </xdr:cNvSpPr>
      </xdr:nvSpPr>
      <xdr:spPr bwMode="auto">
        <a:xfrm flipH="1">
          <a:off x="3305175" y="10677525"/>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119062</xdr:colOff>
      <xdr:row>79</xdr:row>
      <xdr:rowOff>87312</xdr:rowOff>
    </xdr:from>
    <xdr:to>
      <xdr:col>3</xdr:col>
      <xdr:colOff>817562</xdr:colOff>
      <xdr:row>79</xdr:row>
      <xdr:rowOff>95250</xdr:rowOff>
    </xdr:to>
    <xdr:cxnSp macro="">
      <xdr:nvCxnSpPr>
        <xdr:cNvPr id="2" name="Gerade Verbindung mit Pfeil 1">
          <a:extLst>
            <a:ext uri="{FF2B5EF4-FFF2-40B4-BE49-F238E27FC236}">
              <a16:creationId xmlns:a16="http://schemas.microsoft.com/office/drawing/2014/main" id="{00000000-0008-0000-0700-000002000000}"/>
            </a:ext>
          </a:extLst>
        </xdr:cNvPr>
        <xdr:cNvCxnSpPr/>
      </xdr:nvCxnSpPr>
      <xdr:spPr>
        <a:xfrm flipV="1">
          <a:off x="2433637" y="12879387"/>
          <a:ext cx="650875" cy="7938"/>
        </a:xfrm>
        <a:prstGeom prst="straightConnector1">
          <a:avLst/>
        </a:prstGeom>
        <a:ln w="28575"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111132</xdr:colOff>
      <xdr:row>81</xdr:row>
      <xdr:rowOff>95256</xdr:rowOff>
    </xdr:from>
    <xdr:to>
      <xdr:col>3</xdr:col>
      <xdr:colOff>809632</xdr:colOff>
      <xdr:row>81</xdr:row>
      <xdr:rowOff>103194</xdr:rowOff>
    </xdr:to>
    <xdr:cxnSp macro="">
      <xdr:nvCxnSpPr>
        <xdr:cNvPr id="3" name="Gerade Verbindung mit Pfeil 2">
          <a:extLst>
            <a:ext uri="{FF2B5EF4-FFF2-40B4-BE49-F238E27FC236}">
              <a16:creationId xmlns:a16="http://schemas.microsoft.com/office/drawing/2014/main" id="{00000000-0008-0000-0700-000003000000}"/>
            </a:ext>
          </a:extLst>
        </xdr:cNvPr>
        <xdr:cNvCxnSpPr/>
      </xdr:nvCxnSpPr>
      <xdr:spPr>
        <a:xfrm flipV="1">
          <a:off x="2425707" y="13211181"/>
          <a:ext cx="660400" cy="7938"/>
        </a:xfrm>
        <a:prstGeom prst="straightConnector1">
          <a:avLst/>
        </a:prstGeom>
        <a:ln w="28575"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184468</xdr:colOff>
      <xdr:row>72</xdr:row>
      <xdr:rowOff>15875</xdr:rowOff>
    </xdr:from>
    <xdr:to>
      <xdr:col>5</xdr:col>
      <xdr:colOff>341312</xdr:colOff>
      <xdr:row>76</xdr:row>
      <xdr:rowOff>7938</xdr:rowOff>
    </xdr:to>
    <xdr:sp macro="" textlink="">
      <xdr:nvSpPr>
        <xdr:cNvPr id="4" name="Geschweifte Klammer rechts 3">
          <a:extLst>
            <a:ext uri="{FF2B5EF4-FFF2-40B4-BE49-F238E27FC236}">
              <a16:creationId xmlns:a16="http://schemas.microsoft.com/office/drawing/2014/main" id="{00000000-0008-0000-0700-000004000000}"/>
            </a:ext>
          </a:extLst>
        </xdr:cNvPr>
        <xdr:cNvSpPr/>
      </xdr:nvSpPr>
      <xdr:spPr>
        <a:xfrm>
          <a:off x="4042093" y="11674475"/>
          <a:ext cx="156844" cy="639763"/>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119062</xdr:colOff>
      <xdr:row>79</xdr:row>
      <xdr:rowOff>87312</xdr:rowOff>
    </xdr:from>
    <xdr:to>
      <xdr:col>3</xdr:col>
      <xdr:colOff>817562</xdr:colOff>
      <xdr:row>79</xdr:row>
      <xdr:rowOff>95250</xdr:rowOff>
    </xdr:to>
    <xdr:cxnSp macro="">
      <xdr:nvCxnSpPr>
        <xdr:cNvPr id="2" name="Gerade Verbindung mit Pfeil 1">
          <a:extLst>
            <a:ext uri="{FF2B5EF4-FFF2-40B4-BE49-F238E27FC236}">
              <a16:creationId xmlns:a16="http://schemas.microsoft.com/office/drawing/2014/main" id="{00000000-0008-0000-0800-000002000000}"/>
            </a:ext>
          </a:extLst>
        </xdr:cNvPr>
        <xdr:cNvCxnSpPr/>
      </xdr:nvCxnSpPr>
      <xdr:spPr>
        <a:xfrm flipV="1">
          <a:off x="2538412" y="16765587"/>
          <a:ext cx="698500" cy="7938"/>
        </a:xfrm>
        <a:prstGeom prst="straightConnector1">
          <a:avLst/>
        </a:prstGeom>
        <a:ln w="28575"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111132</xdr:colOff>
      <xdr:row>81</xdr:row>
      <xdr:rowOff>95256</xdr:rowOff>
    </xdr:from>
    <xdr:to>
      <xdr:col>3</xdr:col>
      <xdr:colOff>809632</xdr:colOff>
      <xdr:row>81</xdr:row>
      <xdr:rowOff>103194</xdr:rowOff>
    </xdr:to>
    <xdr:cxnSp macro="">
      <xdr:nvCxnSpPr>
        <xdr:cNvPr id="3" name="Gerade Verbindung mit Pfeil 2">
          <a:extLst>
            <a:ext uri="{FF2B5EF4-FFF2-40B4-BE49-F238E27FC236}">
              <a16:creationId xmlns:a16="http://schemas.microsoft.com/office/drawing/2014/main" id="{00000000-0008-0000-0800-000003000000}"/>
            </a:ext>
          </a:extLst>
        </xdr:cNvPr>
        <xdr:cNvCxnSpPr/>
      </xdr:nvCxnSpPr>
      <xdr:spPr>
        <a:xfrm flipV="1">
          <a:off x="2530482" y="17154531"/>
          <a:ext cx="698500" cy="7938"/>
        </a:xfrm>
        <a:prstGeom prst="straightConnector1">
          <a:avLst/>
        </a:prstGeom>
        <a:ln w="28575"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184468</xdr:colOff>
      <xdr:row>72</xdr:row>
      <xdr:rowOff>15875</xdr:rowOff>
    </xdr:from>
    <xdr:to>
      <xdr:col>5</xdr:col>
      <xdr:colOff>341312</xdr:colOff>
      <xdr:row>76</xdr:row>
      <xdr:rowOff>7938</xdr:rowOff>
    </xdr:to>
    <xdr:sp macro="" textlink="">
      <xdr:nvSpPr>
        <xdr:cNvPr id="4" name="Geschweifte Klammer rechts 3">
          <a:extLst>
            <a:ext uri="{FF2B5EF4-FFF2-40B4-BE49-F238E27FC236}">
              <a16:creationId xmlns:a16="http://schemas.microsoft.com/office/drawing/2014/main" id="{00000000-0008-0000-0800-000004000000}"/>
            </a:ext>
          </a:extLst>
        </xdr:cNvPr>
        <xdr:cNvSpPr/>
      </xdr:nvSpPr>
      <xdr:spPr>
        <a:xfrm>
          <a:off x="4499293" y="15332075"/>
          <a:ext cx="156844" cy="763588"/>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466725</xdr:colOff>
      <xdr:row>0</xdr:row>
      <xdr:rowOff>0</xdr:rowOff>
    </xdr:to>
    <xdr:sp macro="" textlink="">
      <xdr:nvSpPr>
        <xdr:cNvPr id="2" name="Line 108">
          <a:extLst>
            <a:ext uri="{FF2B5EF4-FFF2-40B4-BE49-F238E27FC236}">
              <a16:creationId xmlns:a16="http://schemas.microsoft.com/office/drawing/2014/main" id="{00000000-0008-0000-0900-000002000000}"/>
            </a:ext>
          </a:extLst>
        </xdr:cNvPr>
        <xdr:cNvSpPr>
          <a:spLocks noChangeShapeType="1"/>
        </xdr:cNvSpPr>
      </xdr:nvSpPr>
      <xdr:spPr bwMode="auto">
        <a:xfrm>
          <a:off x="7372350" y="18173700"/>
          <a:ext cx="0" cy="0"/>
        </a:xfrm>
        <a:prstGeom prst="line">
          <a:avLst/>
        </a:prstGeom>
        <a:noFill/>
        <a:ln w="2857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466725</xdr:colOff>
      <xdr:row>0</xdr:row>
      <xdr:rowOff>0</xdr:rowOff>
    </xdr:from>
    <xdr:to>
      <xdr:col>6</xdr:col>
      <xdr:colOff>466725</xdr:colOff>
      <xdr:row>0</xdr:row>
      <xdr:rowOff>0</xdr:rowOff>
    </xdr:to>
    <xdr:sp macro="" textlink="">
      <xdr:nvSpPr>
        <xdr:cNvPr id="3" name="Line 116">
          <a:extLst>
            <a:ext uri="{FF2B5EF4-FFF2-40B4-BE49-F238E27FC236}">
              <a16:creationId xmlns:a16="http://schemas.microsoft.com/office/drawing/2014/main" id="{00000000-0008-0000-0900-000003000000}"/>
            </a:ext>
          </a:extLst>
        </xdr:cNvPr>
        <xdr:cNvSpPr>
          <a:spLocks noChangeShapeType="1"/>
        </xdr:cNvSpPr>
      </xdr:nvSpPr>
      <xdr:spPr bwMode="auto">
        <a:xfrm>
          <a:off x="7372350" y="18173700"/>
          <a:ext cx="0" cy="0"/>
        </a:xfrm>
        <a:prstGeom prst="line">
          <a:avLst/>
        </a:prstGeom>
        <a:noFill/>
        <a:ln w="28575">
          <a:solidFill>
            <a:srgbClr val="0000FF"/>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552450</xdr:colOff>
      <xdr:row>0</xdr:row>
      <xdr:rowOff>0</xdr:rowOff>
    </xdr:from>
    <xdr:to>
      <xdr:col>1</xdr:col>
      <xdr:colOff>552450</xdr:colOff>
      <xdr:row>0</xdr:row>
      <xdr:rowOff>0</xdr:rowOff>
    </xdr:to>
    <xdr:sp macro="" textlink="">
      <xdr:nvSpPr>
        <xdr:cNvPr id="4" name="Line 146">
          <a:extLst>
            <a:ext uri="{FF2B5EF4-FFF2-40B4-BE49-F238E27FC236}">
              <a16:creationId xmlns:a16="http://schemas.microsoft.com/office/drawing/2014/main" id="{00000000-0008-0000-0900-000004000000}"/>
            </a:ext>
          </a:extLst>
        </xdr:cNvPr>
        <xdr:cNvSpPr>
          <a:spLocks noChangeShapeType="1"/>
        </xdr:cNvSpPr>
      </xdr:nvSpPr>
      <xdr:spPr bwMode="auto">
        <a:xfrm>
          <a:off x="2933700" y="18173700"/>
          <a:ext cx="0" cy="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581025</xdr:colOff>
      <xdr:row>0</xdr:row>
      <xdr:rowOff>0</xdr:rowOff>
    </xdr:from>
    <xdr:to>
      <xdr:col>2</xdr:col>
      <xdr:colOff>581025</xdr:colOff>
      <xdr:row>0</xdr:row>
      <xdr:rowOff>0</xdr:rowOff>
    </xdr:to>
    <xdr:sp macro="" textlink="">
      <xdr:nvSpPr>
        <xdr:cNvPr id="5" name="Line 147">
          <a:extLst>
            <a:ext uri="{FF2B5EF4-FFF2-40B4-BE49-F238E27FC236}">
              <a16:creationId xmlns:a16="http://schemas.microsoft.com/office/drawing/2014/main" id="{00000000-0008-0000-0900-000005000000}"/>
            </a:ext>
          </a:extLst>
        </xdr:cNvPr>
        <xdr:cNvSpPr>
          <a:spLocks noChangeShapeType="1"/>
        </xdr:cNvSpPr>
      </xdr:nvSpPr>
      <xdr:spPr bwMode="auto">
        <a:xfrm>
          <a:off x="4019550" y="18173700"/>
          <a:ext cx="0" cy="0"/>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xdr:colOff>
      <xdr:row>2</xdr:row>
      <xdr:rowOff>0</xdr:rowOff>
    </xdr:from>
    <xdr:to>
      <xdr:col>4</xdr:col>
      <xdr:colOff>1</xdr:colOff>
      <xdr:row>3</xdr:row>
      <xdr:rowOff>0</xdr:rowOff>
    </xdr:to>
    <xdr:sp macro="" textlink="">
      <xdr:nvSpPr>
        <xdr:cNvPr id="3" name="Text Box 40">
          <a:extLst>
            <a:ext uri="{FF2B5EF4-FFF2-40B4-BE49-F238E27FC236}">
              <a16:creationId xmlns:a16="http://schemas.microsoft.com/office/drawing/2014/main" id="{00000000-0008-0000-0A00-000003000000}"/>
            </a:ext>
          </a:extLst>
        </xdr:cNvPr>
        <xdr:cNvSpPr txBox="1">
          <a:spLocks noChangeArrowheads="1"/>
        </xdr:cNvSpPr>
      </xdr:nvSpPr>
      <xdr:spPr bwMode="auto">
        <a:xfrm>
          <a:off x="4429126" y="539750"/>
          <a:ext cx="960438" cy="269875"/>
        </a:xfrm>
        <a:prstGeom prst="rect">
          <a:avLst/>
        </a:prstGeom>
        <a:solidFill>
          <a:srgbClr val="FFFFFF"/>
        </a:solidFill>
        <a:ln w="19050">
          <a:solidFill>
            <a:srgbClr val="000000"/>
          </a:solidFill>
          <a:miter lim="800000"/>
          <a:headEnd/>
          <a:tailEnd/>
        </a:ln>
      </xdr:spPr>
    </xdr:sp>
    <xdr:clientData fPrintsWithSheet="0"/>
  </xdr:twoCellAnchor>
  <xdr:twoCellAnchor>
    <xdr:from>
      <xdr:col>3</xdr:col>
      <xdr:colOff>0</xdr:colOff>
      <xdr:row>14</xdr:row>
      <xdr:rowOff>0</xdr:rowOff>
    </xdr:from>
    <xdr:to>
      <xdr:col>4</xdr:col>
      <xdr:colOff>0</xdr:colOff>
      <xdr:row>15</xdr:row>
      <xdr:rowOff>0</xdr:rowOff>
    </xdr:to>
    <xdr:sp macro="" textlink="">
      <xdr:nvSpPr>
        <xdr:cNvPr id="4" name="Text Box 46">
          <a:extLst>
            <a:ext uri="{FF2B5EF4-FFF2-40B4-BE49-F238E27FC236}">
              <a16:creationId xmlns:a16="http://schemas.microsoft.com/office/drawing/2014/main" id="{00000000-0008-0000-0A00-000004000000}"/>
            </a:ext>
          </a:extLst>
        </xdr:cNvPr>
        <xdr:cNvSpPr txBox="1">
          <a:spLocks noChangeArrowheads="1"/>
        </xdr:cNvSpPr>
      </xdr:nvSpPr>
      <xdr:spPr bwMode="auto">
        <a:xfrm>
          <a:off x="4438650" y="2616200"/>
          <a:ext cx="965200" cy="165100"/>
        </a:xfrm>
        <a:prstGeom prst="rect">
          <a:avLst/>
        </a:prstGeom>
        <a:solidFill>
          <a:srgbClr val="FFFFFF"/>
        </a:solidFill>
        <a:ln w="9525">
          <a:solidFill>
            <a:srgbClr val="000000"/>
          </a:solidFill>
          <a:miter lim="800000"/>
          <a:headEnd/>
          <a:tailEnd/>
        </a:ln>
      </xdr:spPr>
    </xdr:sp>
    <xdr:clientData/>
  </xdr:twoCellAnchor>
  <xdr:twoCellAnchor>
    <xdr:from>
      <xdr:col>6</xdr:col>
      <xdr:colOff>642937</xdr:colOff>
      <xdr:row>71</xdr:row>
      <xdr:rowOff>31750</xdr:rowOff>
    </xdr:from>
    <xdr:to>
      <xdr:col>6</xdr:col>
      <xdr:colOff>666750</xdr:colOff>
      <xdr:row>78</xdr:row>
      <xdr:rowOff>166688</xdr:rowOff>
    </xdr:to>
    <xdr:cxnSp macro="">
      <xdr:nvCxnSpPr>
        <xdr:cNvPr id="9" name="Gerade Verbindung mit Pfeil 8">
          <a:extLst>
            <a:ext uri="{FF2B5EF4-FFF2-40B4-BE49-F238E27FC236}">
              <a16:creationId xmlns:a16="http://schemas.microsoft.com/office/drawing/2014/main" id="{00000000-0008-0000-0A00-000009000000}"/>
            </a:ext>
          </a:extLst>
        </xdr:cNvPr>
        <xdr:cNvCxnSpPr/>
      </xdr:nvCxnSpPr>
      <xdr:spPr bwMode="auto">
        <a:xfrm flipH="1" flipV="1">
          <a:off x="7985125" y="12517438"/>
          <a:ext cx="23813" cy="1539875"/>
        </a:xfrm>
        <a:prstGeom prst="straightConnector1">
          <a:avLst/>
        </a:prstGeom>
        <a:solidFill>
          <a:srgbClr val="FFFFFF"/>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722309</xdr:colOff>
      <xdr:row>54</xdr:row>
      <xdr:rowOff>261938</xdr:rowOff>
    </xdr:from>
    <xdr:to>
      <xdr:col>7</xdr:col>
      <xdr:colOff>277814</xdr:colOff>
      <xdr:row>70</xdr:row>
      <xdr:rowOff>63501</xdr:rowOff>
    </xdr:to>
    <xdr:cxnSp macro="">
      <xdr:nvCxnSpPr>
        <xdr:cNvPr id="13" name="Gewinkelte Verbindung 12">
          <a:extLst>
            <a:ext uri="{FF2B5EF4-FFF2-40B4-BE49-F238E27FC236}">
              <a16:creationId xmlns:a16="http://schemas.microsoft.com/office/drawing/2014/main" id="{00000000-0008-0000-0A00-00000D000000}"/>
            </a:ext>
          </a:extLst>
        </xdr:cNvPr>
        <xdr:cNvCxnSpPr/>
      </xdr:nvCxnSpPr>
      <xdr:spPr bwMode="auto">
        <a:xfrm rot="16200000" flipV="1">
          <a:off x="6679405" y="10441780"/>
          <a:ext cx="3286126" cy="515942"/>
        </a:xfrm>
        <a:prstGeom prst="bentConnector3">
          <a:avLst>
            <a:gd name="adj1" fmla="val 59662"/>
          </a:avLst>
        </a:prstGeom>
        <a:solidFill>
          <a:srgbClr val="FFFFFF"/>
        </a:solidFill>
        <a:ln w="190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47626</xdr:colOff>
      <xdr:row>70</xdr:row>
      <xdr:rowOff>71437</xdr:rowOff>
    </xdr:from>
    <xdr:to>
      <xdr:col>7</xdr:col>
      <xdr:colOff>285751</xdr:colOff>
      <xdr:row>70</xdr:row>
      <xdr:rowOff>71437</xdr:rowOff>
    </xdr:to>
    <xdr:cxnSp macro="">
      <xdr:nvCxnSpPr>
        <xdr:cNvPr id="23" name="Gerader Verbinder 22">
          <a:extLst>
            <a:ext uri="{FF2B5EF4-FFF2-40B4-BE49-F238E27FC236}">
              <a16:creationId xmlns:a16="http://schemas.microsoft.com/office/drawing/2014/main" id="{00000000-0008-0000-0A00-000017000000}"/>
            </a:ext>
          </a:extLst>
        </xdr:cNvPr>
        <xdr:cNvCxnSpPr/>
      </xdr:nvCxnSpPr>
      <xdr:spPr bwMode="auto">
        <a:xfrm flipH="1">
          <a:off x="8350251" y="12350750"/>
          <a:ext cx="238125" cy="0"/>
        </a:xfrm>
        <a:prstGeom prst="line">
          <a:avLst/>
        </a:prstGeom>
        <a:solidFill>
          <a:srgbClr val="FFFFFF"/>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95250</xdr:colOff>
      <xdr:row>3</xdr:row>
      <xdr:rowOff>0</xdr:rowOff>
    </xdr:from>
    <xdr:to>
      <xdr:col>4</xdr:col>
      <xdr:colOff>111125</xdr:colOff>
      <xdr:row>44</xdr:row>
      <xdr:rowOff>0</xdr:rowOff>
    </xdr:to>
    <xdr:cxnSp macro="">
      <xdr:nvCxnSpPr>
        <xdr:cNvPr id="2" name="Gerader Verbinder 1">
          <a:extLst>
            <a:ext uri="{FF2B5EF4-FFF2-40B4-BE49-F238E27FC236}">
              <a16:creationId xmlns:a16="http://schemas.microsoft.com/office/drawing/2014/main" id="{00000000-0008-0000-0B00-000002000000}"/>
            </a:ext>
          </a:extLst>
        </xdr:cNvPr>
        <xdr:cNvCxnSpPr/>
      </xdr:nvCxnSpPr>
      <xdr:spPr bwMode="auto">
        <a:xfrm>
          <a:off x="4772025" y="733425"/>
          <a:ext cx="15875" cy="6677025"/>
        </a:xfrm>
        <a:prstGeom prst="line">
          <a:avLst/>
        </a:prstGeom>
        <a:solidFill>
          <a:srgbClr val="FFFFFF"/>
        </a:solidFill>
        <a:ln w="28575" cap="flat" cmpd="sng" algn="ctr">
          <a:solidFill>
            <a:srgbClr val="FF0000">
              <a:alpha val="49000"/>
            </a:srgb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onstige_Vertraege\Pflegekoordinatoren\Schade\Arbeitsgruppen\Kalkulationsschema\43\Endversionen\2016_12_12\2017_02_01%20Probeberechnung%20pauschale%20Fortschreibung%202016_12_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718011\Documents\2016-08-17_AG%20Kalkulationsschema\MKP_2016%20&#167;%2043%20Meldebogen%20+%20Berechnung%20Ueberleitung%20Version%201708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diakonierwl-my.sharepoint.com/Users/a.flasspoehler/AppData/Local/Microsoft/Windows/INetCache/Content.Outlook/19G8N2P6/vollstation&#228;r.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as-dez7\userdata_dez7\Z718011\1%20-%20Excel\1%20-%20Verg&#252;tungsverhandlungen\2023\Kopie%20von%202138%20Waldthausenstifte%20&#220;berleitung%20113c%20Angebot%201.7.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a04948\AppData\Local\Microsoft\Windows\Temporary%20Internet%20Files\Content.Outlook\UU55GB6B\20180404_KZP_Musterberechnung%20lt.%20GrAus%2021.3.2018.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zp%202005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Z213105\Excel-Dateien\SGB%20XI\Neues%20Schema%202003\Schema%202003%20Ver.3.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effentlich\Themenbezogene%20Ordner\Station&#228;r\Berechnungsschema\&#167;&#167;%2084,85%20SGB%20XI\2015_06_16%20Schema%20NRW%202015%203_Stand%2016%2006%202015%20Endfassu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z718011\AppData\Local\Microsoft\Windows\Temporary%20Internet%20Files\Content.Outlook\Z7J9PH89\2017_02_01%20Probeberechnung%20pauschale%20Fortschreibung%202016_12_13.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16_2_1%20&#167;%2041%20Kalkulationsschema%20NRW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dez7\userdata_dez7\3%20-%20Sondert&#228;tigkeit\03%20-%20Kalkulationsschema\2024_Schemata%20an%20Verteiler\Verteiler%20GA\2025_01%2043%20Kalkulationsschema%20Regeleinrichtung_Masterdatei_Stand%2013.11.202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z714_Heimentgelte\Formulare\SGB%20XI\Kalkulationsschemata\2023-08_LVR_Kalkulationsschema%20vollstationaere%20Pflege_&#220;berleitung%20113c.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effentlich\Pers&#246;nliche%20Ordner\Assfalg\000%20Schema%20NRW%202015%203%203%20Stand%202015_12_02%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 &amp; Paste"/>
      <sheetName val="Seite 1"/>
      <sheetName val="Belegung"/>
      <sheetName val="Personalkosten"/>
      <sheetName val="Sachkosten"/>
      <sheetName val="Berechnungen"/>
      <sheetName val="Personalabgleich"/>
      <sheetName val="Ergebnis 2"/>
      <sheetName val="Ergebnis Überleitung"/>
      <sheetName val="Ausgangssituation"/>
      <sheetName val="Pauschale über Einzelparameter"/>
      <sheetName val="Pauschale über EEE"/>
      <sheetName val="Pauschal"/>
      <sheetName val="Ergebnis"/>
      <sheetName val="§ 92d"/>
      <sheetName val="Pauschale"/>
      <sheetName val="Anschreiben NO"/>
      <sheetName val="Anschreiben WL"/>
      <sheetName val="Protokoll"/>
      <sheetName val="Vorab"/>
      <sheetName val="Schaltjahr"/>
      <sheetName val="Protokoll (2)"/>
      <sheetName val="VV"/>
      <sheetName val="Datenbankwerte"/>
      <sheetName val="VV 85 PSG II"/>
      <sheetName val="Mod"/>
      <sheetName val="Abschlussarbeiten"/>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n"/>
      <sheetName val="Nebenrechnungen"/>
      <sheetName val="Anschreiben NO"/>
      <sheetName val="Anschreiben WL"/>
      <sheetName val="Datenbankwerte"/>
      <sheetName val="Überleitung"/>
      <sheetName val="Umrechnungsschema"/>
      <sheetName val="PSG II mit &quot;Alt 0&quot;"/>
      <sheetName val="Datenbereich2"/>
      <sheetName val="Protokoll"/>
      <sheetName val="VV 2016"/>
      <sheetName val="VV 2017"/>
      <sheetName val="MOD"/>
      <sheetName val="Nachweis Tarif"/>
      <sheetName val="Umrechnung Stundenlohn"/>
      <sheetName val="Meldebogen 2.0"/>
      <sheetName val="Berechnung"/>
      <sheetName val="84 8 Nachweis"/>
      <sheetName val="84 9 Nachweis"/>
      <sheetName val="Anpassung Sachkosten bis 06.23"/>
      <sheetName val="Abschlussverfügungen"/>
      <sheetName val="Tarifübersicht"/>
      <sheetName val="Beteiligung_SHT_§ 7 Abs. 5 Rili"/>
      <sheetName val="Datenbank LVR"/>
      <sheetName val="Ergebnis 2"/>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 &amp; Paste"/>
      <sheetName val="Seite 1"/>
      <sheetName val="Belegung"/>
      <sheetName val="Personalkosten"/>
      <sheetName val="Sachkosten"/>
      <sheetName val="Berechnungen"/>
      <sheetName val="Personalabgleich"/>
      <sheetName val="Forderung"/>
      <sheetName val="Kurzzeitpflege"/>
      <sheetName val="Pauschal"/>
      <sheetName val="SteigerungsgrenzeDW"/>
      <sheetName val="Steigerungsgrenze PSG II"/>
      <sheetName val="Erläuterungen Steigerungsgrenze"/>
      <sheetName val="Protokoll"/>
      <sheetName val="VV KZP WTG-Erlass"/>
      <sheetName val="VV"/>
      <sheetName val="VV KZP fix flex"/>
      <sheetName val="Übersicht + Berechnung"/>
      <sheetName val="Nachweis § 43b"/>
      <sheetName val="Statistik"/>
      <sheetName val="Ergebnis"/>
      <sheetName val="Stellenplan"/>
      <sheetName val="Personalbemessung"/>
      <sheetName val="Bisheriges Ergebnis"/>
      <sheetName val="Vergleich"/>
      <sheetName val="Hauswirtschaft"/>
      <sheetName val="Schaltjahr"/>
      <sheetName val="EA ohne PSG2"/>
      <sheetName val="Pauschal ohne EA"/>
      <sheetName val="Nebenberechnungen SGB V"/>
      <sheetName val="Budgetveränderungswert"/>
      <sheetName val="§ 132 a SGB V "/>
      <sheetName val="Vorab"/>
      <sheetName val="Teilnehmerliste"/>
      <sheetName val="Kontakte"/>
      <sheetName val="Mod"/>
      <sheetName val="Angebotsprotokoll"/>
      <sheetName val="Ergebnis § 43b"/>
      <sheetName val="Abschlussarbeiten"/>
      <sheetName val="DB"/>
      <sheetName val="vdek"/>
      <sheetName val="LWL örtl. Träger"/>
      <sheetName val="LWL Pflegekassen"/>
      <sheetName val="LWL Träger"/>
      <sheetName val="Copy_&amp;_Paste"/>
      <sheetName val="Seite_1"/>
      <sheetName val="Steigerungsgrenze_PSG_II"/>
      <sheetName val="Erläuterungen_Steigerungsgrenze"/>
      <sheetName val="VV_KZP_WTG-Erlass"/>
      <sheetName val="VV_KZP_fix_flex"/>
      <sheetName val="Übersicht_+_Berechnung"/>
      <sheetName val="Nachweis_§_43b"/>
      <sheetName val="Bisheriges_Ergebnis"/>
      <sheetName val="EA_ohne_PSG2"/>
      <sheetName val="Pauschal_ohne_EA"/>
      <sheetName val="Nebenberechnungen_SGB_V"/>
      <sheetName val="§_132_a_SGB_V_"/>
      <sheetName val="Ergebnis_§_43b"/>
      <sheetName val="LWL_örtl__Träger"/>
      <sheetName val="LWL_Pflegekassen"/>
      <sheetName val="LWL_Träger"/>
      <sheetName val="Eingaben"/>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sheetName val="Copy &amp; Paste"/>
      <sheetName val="Überleitung 113c"/>
      <sheetName val="Überleitung 113c_Prüfung"/>
      <sheetName val="Tabelle1"/>
      <sheetName val="Überleitung 113c_Prüfung (2)"/>
      <sheetName val="Seite 1"/>
      <sheetName val="Belegung"/>
      <sheetName val="Personalkosten"/>
      <sheetName val="Sachkosten"/>
      <sheetName val="Berechnungen"/>
      <sheetName val="Personalabgleich"/>
      <sheetName val="Ergebnis"/>
      <sheetName val="Vermerk"/>
      <sheetName val="Tarif_Sockelbetrag"/>
      <sheetName val="Kurzzeitpflege"/>
      <sheetName val="Budgetveränderungswert"/>
      <sheetName val="Steigerungsgrenze PSG II"/>
      <sheetName val="Erläuterungen Steigerungsgrenze"/>
      <sheetName val="Mitteilung örtl. SozA_PG"/>
      <sheetName val="Pauschal"/>
      <sheetName val="Schaltjahr"/>
      <sheetName val="Abschlussverfügungen"/>
      <sheetName val="Mitteilung örtl. SozA_Pauschale"/>
      <sheetName val="Protokoll"/>
      <sheetName val="Nebenberechnungen SGB V"/>
      <sheetName val="VV"/>
      <sheetName val="VV KZP fix flex"/>
      <sheetName val="VV KZP WTG-Erlass"/>
      <sheetName val="§ 132 a SGB V "/>
      <sheetName val="Vorab"/>
      <sheetName val="Vorab PS+KZP fix flex"/>
      <sheetName val="Vorab nur KZP fix flex"/>
      <sheetName val="Teilnehmerliste"/>
      <sheetName val="Kontakte"/>
      <sheetName val="Übersicht + Berechnung"/>
      <sheetName val="Nachweis § 43b"/>
      <sheetName val="Angebotsprotokoll"/>
      <sheetName val="Ergebnis § 43b"/>
      <sheetName val="Abschlussarbeiten"/>
      <sheetName val="BKK PG"/>
      <sheetName val="BKK 43b"/>
      <sheetName val="DB"/>
      <sheetName val="vdek"/>
      <sheetName val="Datenbank LVR"/>
      <sheetName val="LWL örtl. Träger"/>
      <sheetName val="LWL Pflegekassen"/>
      <sheetName val="LWL Träger"/>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sheetName val="Copy &amp; Paste"/>
      <sheetName val="Seite 1"/>
      <sheetName val="Belegung"/>
      <sheetName val="Personalkosten"/>
      <sheetName val="Sachkosten"/>
      <sheetName val="Berechnungen"/>
      <sheetName val="Personalabgleich"/>
      <sheetName val="Ergebnis"/>
      <sheetName val="Kurzzeitpflege"/>
      <sheetName val="Pauschal"/>
      <sheetName val="Erläuterungen Steigerungsgrenze"/>
      <sheetName val="Steigerungsgrenze PSG II"/>
      <sheetName val="Schaltjahr"/>
      <sheetName val="Protokoll"/>
      <sheetName val="Nebenberechnungen SGB V"/>
      <sheetName val="Budgetveränderungswert"/>
      <sheetName val="VV"/>
      <sheetName val="VV KZP fix flex"/>
      <sheetName val="§ 132 a SGB V "/>
      <sheetName val="Vorab"/>
      <sheetName val="Vorab PS+KZP fix flex"/>
      <sheetName val="Vorab nur KZP fix flex"/>
      <sheetName val="Teilnehmerliste"/>
      <sheetName val="Kontakte"/>
      <sheetName val="Übersicht + Berechnung"/>
      <sheetName val="Nachweis § 43b"/>
      <sheetName val="Angebotsprotokoll"/>
      <sheetName val="Ergebnis § 43b"/>
      <sheetName val="Abschlussarbeiten"/>
      <sheetName val="DB"/>
      <sheetName val="BKK PG"/>
      <sheetName val="BKK 43b"/>
      <sheetName val="vdek"/>
      <sheetName val="LWL örtl. Träger"/>
      <sheetName val="LWL Pflegekassen"/>
      <sheetName val="LWL Träger"/>
      <sheetName val="VV KZP WTG-Erlass"/>
      <sheetName val="Grund- u. Leistungsdaten"/>
      <sheetName val="Sachaufwand"/>
      <sheetName val="Personalaufwand 2017"/>
      <sheetName val="Personalaufwand 2018"/>
      <sheetName val="Personalaufwand Kalk-Zeitraum"/>
      <sheetName val="Plausibilitätsprüfung"/>
      <sheetName val="Feld 1_83"/>
      <sheetName val="Feld 84_159"/>
      <sheetName val="Feld 160_206"/>
      <sheetName val="Feld 207_283"/>
      <sheetName val="Feld 284_314"/>
      <sheetName val="Eingabe intern"/>
      <sheetName val="mögliches Angebot"/>
      <sheetName val="Hochrechnung PT"/>
      <sheetName val="Schmerzgrenze"/>
      <sheetName val="Kurzanalyse 2020"/>
      <sheetName val="Kurzanalyse 2021"/>
      <sheetName val=" VV"/>
      <sheetName val=" VV+"/>
      <sheetName val="84 8 Übersicht"/>
      <sheetName val="84 8 Nachweis"/>
      <sheetName val="84 8 Angebot"/>
      <sheetName val="84 8 Vorbereitung"/>
      <sheetName val="84 9 Nachweis"/>
      <sheetName val="VV 84 9"/>
      <sheetName val="Vorab 84 9"/>
      <sheetName val="84 9 Auszug für Kostenträger"/>
      <sheetName val="Entwicklung"/>
      <sheetName val="PK 2020"/>
      <sheetName val="PK 2021"/>
      <sheetName val="Ergebnis ref.Umlage"/>
      <sheetName val="Kurzanalyse 2022"/>
      <sheetName val="Übersicht"/>
      <sheetName val="Mehrbelastung Bewohner"/>
      <sheetName val="Grund- u. Leistungsdaten (GPVG)"/>
      <sheetName val="Personalaufwand 2021"/>
      <sheetName val="Personalaufwand 2022"/>
      <sheetName val="Tabelle1"/>
      <sheetName val="Nachweis § 84 Abs. 9 (GPVG)"/>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 der Daten"/>
      <sheetName val="Seite 1"/>
      <sheetName val="Belegung"/>
      <sheetName val="Personalkosten"/>
      <sheetName val="Sachkosten"/>
      <sheetName val="Entgeltermittlung"/>
      <sheetName val="Vorab"/>
      <sheetName val="LQV"/>
      <sheetName val="VV 85 WL"/>
      <sheetName val="Protokoll"/>
      <sheetName val="Ergebnis"/>
      <sheetName val="Sondenkost"/>
      <sheetName val="Azubis"/>
      <sheetName val="Notizen"/>
      <sheetName val="APU"/>
      <sheetName val="Pauschale"/>
      <sheetName val="Steigerungen"/>
      <sheetName val="Personal"/>
      <sheetName val="Sach"/>
      <sheetName val="Fremdleistungen"/>
      <sheetName val="DBW"/>
      <sheetName val="Deckblatt"/>
      <sheetName val="Bearbeitung"/>
      <sheetName val="Eingaben"/>
      <sheetName val="Daten PE"/>
      <sheetName val="BT"/>
      <sheetName val="PK"/>
      <sheetName val="SK"/>
      <sheetName val="Azubi 2008 "/>
      <sheetName val="Azubi 2008  (2)"/>
      <sheetName val="AZUBI WL neu"/>
      <sheetName val="Nebenrechnungen"/>
      <sheetName val="Protokoll "/>
      <sheetName val="Umrechnung"/>
      <sheetName val="Mitt"/>
      <sheetName val="Tabelle6"/>
      <sheetName val="Datenbankwerte"/>
      <sheetName val="Export"/>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ues zu 2003"/>
      <sheetName val="Eingabe der Daten"/>
      <sheetName val="Seite 1"/>
      <sheetName val="Belegung"/>
      <sheetName val="Personalkosten"/>
      <sheetName val="Sachkosten"/>
      <sheetName val="Entgeltermittlung"/>
      <sheetName val="Ergebnis"/>
      <sheetName val="Fremdleistungen"/>
      <sheetName val="Abweichung"/>
      <sheetName val="Qualität"/>
      <sheetName val="Auswertung"/>
      <sheetName val="Protokoll"/>
      <sheetName val="VV 85 WL"/>
      <sheetName val="VV 85 No"/>
      <sheetName val="Anschreiben"/>
      <sheetName val="Datenbankwerte"/>
      <sheetName val="Anlage 1 Personalkosten"/>
      <sheetName val="Stammdatenblatt"/>
      <sheetName val="daten"/>
      <sheetName val="Ergebnis 2"/>
      <sheetName val="Anl. 1 Antragskalkulation"/>
      <sheetName val="Eingaben"/>
      <sheetName val="Datenbereich2"/>
      <sheetName val="Daten PE"/>
      <sheetName val="copy &amp; paste"/>
      <sheetName val="schaltjahr"/>
      <sheetName val="Erhöhungsschreiben"/>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n"/>
      <sheetName val="Daten PE"/>
      <sheetName val="BT"/>
      <sheetName val="PK"/>
      <sheetName val="SK"/>
      <sheetName val="Nachweis §87b"/>
      <sheetName val="Ergebnis"/>
      <sheetName val="Nebenrechnungen"/>
      <sheetName val="interne Betrachtung"/>
      <sheetName val="Anschreiben NO"/>
      <sheetName val="Anschreiben WL"/>
      <sheetName val="Protokoll"/>
      <sheetName val="Umrechnungsschema"/>
      <sheetName val="Personalabgleich"/>
      <sheetName val="VV 84-85-87 WL"/>
      <sheetName val="VV 84-85-87 NO"/>
      <sheetName val="§ 132 a SGB V "/>
      <sheetName val="Datenbankwerte"/>
      <sheetName val="Mod"/>
      <sheetName val="VV 84-85-87 NR"/>
      <sheetName val="Stammdaten"/>
      <sheetName val="Datenbereich2"/>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 &amp; Paste"/>
      <sheetName val="Seite 1"/>
      <sheetName val="Belegung"/>
      <sheetName val="Personalkosten"/>
      <sheetName val="Sachkosten"/>
      <sheetName val="Berechnungen"/>
      <sheetName val="Personalabgleich"/>
      <sheetName val="Ergebnis 2"/>
      <sheetName val="Ergebnis Überleitung"/>
      <sheetName val="Ausgangssituation"/>
      <sheetName val="Pauschale über Einzelparameter"/>
      <sheetName val="Pauschale über EEE"/>
      <sheetName val="Pauschal"/>
      <sheetName val="Ergebnis"/>
      <sheetName val="§ 92d"/>
      <sheetName val="Pauschale"/>
      <sheetName val="Anschreiben NO"/>
      <sheetName val="Anschreiben WL"/>
      <sheetName val="Protokoll"/>
      <sheetName val="Vorab"/>
      <sheetName val="Schaltjahr"/>
      <sheetName val="Protokoll (2)"/>
      <sheetName val="VV"/>
      <sheetName val="Datenbankwerte"/>
      <sheetName val="VV 85 PSG II"/>
      <sheetName val="Mod"/>
      <sheetName val="Abschlussarbeiten"/>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Copy &amp; Paste"/>
      <sheetName val="Seite 1"/>
      <sheetName val="Belegung"/>
      <sheetName val="Personalkosten"/>
      <sheetName val="Sachkosten"/>
      <sheetName val="Ergebnis 2"/>
      <sheetName val="Berechnungen"/>
      <sheetName val="Ergebnis ab 01.01.17"/>
      <sheetName val="Ergebnis"/>
      <sheetName val="Pauschale"/>
      <sheetName val="Protokoll"/>
      <sheetName val="Protokoll (2)"/>
      <sheetName val="§ 92d"/>
      <sheetName val="Anschreiben NO"/>
      <sheetName val="Anschreiben WL"/>
      <sheetName val="Vorab"/>
      <sheetName val="VV 85 NRW"/>
      <sheetName val="VV 85 PSG II"/>
      <sheetName val="Mod"/>
      <sheetName val="Abschlussarbeiten"/>
      <sheetName val="Schaltjahr"/>
      <sheetName val="VV"/>
      <sheetName val="Datenbankwerte"/>
      <sheetName val="Personalabgleich"/>
      <sheetName val="Anschreiben örtl. Träger"/>
      <sheetName val="Anschreiben Pflegekassen"/>
      <sheetName val="Anschreiben Träger"/>
      <sheetName val="Ergebnis 2017"/>
      <sheetName val="Eingaben"/>
      <sheetName val="Daten PE"/>
      <sheetName val="BT"/>
      <sheetName val="PK"/>
      <sheetName val="SK"/>
      <sheetName val="Nachweis §87b"/>
      <sheetName val="Nebenrechnungen"/>
      <sheetName val="Umrechnungsschema"/>
      <sheetName val="VV 84-85-87 WL"/>
      <sheetName val="§ 132 a SGB V "/>
      <sheetName val="Datenbereich2"/>
      <sheetName val="Deckblatt"/>
      <sheetName val="Basisdaten"/>
      <sheetName val="Statistik"/>
      <sheetName val="1 Statistik PersStruk"/>
      <sheetName val="Leitung mit AG"/>
      <sheetName val="Leitung ohne AG"/>
      <sheetName val="Pflegefachkräfte"/>
      <sheetName val="PDL"/>
      <sheetName val="QMB"/>
      <sheetName val="Praxisanleiter"/>
      <sheetName val="Geronto FK"/>
      <sheetName val="Pflegehilfskräfte"/>
      <sheetName val="Zusatzpersonal FK"/>
      <sheetName val="Zusatzpersonal HK"/>
      <sheetName val="Soziale Betreuung Fachkräfte"/>
      <sheetName val="Soziale Betreuung HK"/>
      <sheetName val="Betreuungsassistenten §43b"/>
      <sheetName val="Küche"/>
      <sheetName val="Reinigung"/>
      <sheetName val="Wäscherei"/>
      <sheetName val="Verwaltung"/>
      <sheetName val="Pforte und Telefon"/>
      <sheetName val="Hausmeister"/>
      <sheetName val="Azubi Pflege"/>
      <sheetName val="Sonstiges Personal mit AG"/>
      <sheetName val="Sonstiges Personal ohne AG"/>
      <sheetName val="PersKost 1"/>
      <sheetName val="PersKost 2"/>
      <sheetName val="PersKost 3"/>
      <sheetName val="KontSach"/>
      <sheetName val="Invest"/>
      <sheetName val="2 Kostenstruktur"/>
      <sheetName val="3 Berechnung 1"/>
      <sheetName val="3 Berechnung 2"/>
      <sheetName val="Erlöse"/>
      <sheetName val="Deckungsbeitrag Pflegegrad"/>
      <sheetName val="Deckblatt § 43b"/>
      <sheetName val="Berechnung § 43b"/>
      <sheetName val="Antrag"/>
      <sheetName val="Antrag gleiche Belegung"/>
      <sheetName val="Erläuterung PersK"/>
      <sheetName val="Erläuterung SachK"/>
      <sheetName val="Ergebnis gleiche Belegung"/>
      <sheetName val="Leßmann Formel"/>
      <sheetName val="Ergebnis nach Lessmann"/>
      <sheetName val="Kurzzeitpflege"/>
      <sheetName val="Personalschlüssel prospektiv"/>
      <sheetName val="Personalschlüssel 2017"/>
      <sheetName val="Personalschlüssel 2018"/>
      <sheetName val="letzte Verhandlung"/>
      <sheetName val="vorletzte Verhandlung"/>
      <sheetName val="Überleitung"/>
      <sheetName val="PSG II mit &quot;Alt 0&quot;"/>
      <sheetName val="Jan-März"/>
      <sheetName val="April-Juni"/>
      <sheetName val="Juli-Sept."/>
      <sheetName val="Okt.-Dez."/>
      <sheetName val="DB"/>
      <sheetName val="Pauschale "/>
      <sheetName val="letztes Ergebnis"/>
      <sheetName val="§ 43b Übersicht + Berechnung"/>
      <sheetName val="Proto"/>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sheetName val="Copy &amp; Paste"/>
      <sheetName val="Überleitung 113c"/>
      <sheetName val="Bestandsschutz"/>
      <sheetName val="Übergangsregelung"/>
      <sheetName val="Seite 1"/>
      <sheetName val="Belegung"/>
      <sheetName val="Personalkosten"/>
      <sheetName val="Sachkosten"/>
      <sheetName val="Personalabgleich I"/>
      <sheetName val="Personalabgleich II"/>
      <sheetName val="Berechnungen"/>
      <sheetName val="Ergebnis"/>
      <sheetName val="Pauschal"/>
      <sheetName val="Schaltjahr"/>
      <sheetName val="Protokoll"/>
      <sheetName val="Kurzzeitpflege"/>
      <sheetName val="Ergänzungsvereinbarung 01-2025"/>
      <sheetName val=" VV_2024-25"/>
      <sheetName val=" VV"/>
      <sheetName val=" VV+"/>
      <sheetName val="VV KZP fix flex"/>
      <sheetName val="VV KZP WTG-Erlass"/>
      <sheetName val="Budgetveränderungswert"/>
      <sheetName val="84 8 Übersicht"/>
      <sheetName val="84 8 Nachweis"/>
      <sheetName val="84 8 Angebot"/>
      <sheetName val="84 9 Nachweis"/>
      <sheetName val="VV 84 9"/>
      <sheetName val="Vorab 84 9"/>
      <sheetName val="84 9 Auszug für Kostenträger"/>
      <sheetName val="Abschlussarbeiten"/>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
      <sheetName val="Copy &amp; Paste"/>
      <sheetName val="Überleitung 113c"/>
      <sheetName val="Überleitung 113c_Prüfung"/>
      <sheetName val="Seite 1"/>
      <sheetName val="Belegung"/>
      <sheetName val="Personalkosten"/>
      <sheetName val="Sachkosten"/>
      <sheetName val="Berechnungen"/>
      <sheetName val="Personalabgleich"/>
      <sheetName val="Ergebnis"/>
      <sheetName val="Vermerk"/>
      <sheetName val="Tarif_Sockelbetrag"/>
      <sheetName val="Kurzzeitpflege"/>
      <sheetName val="Budgetveränderungswert"/>
      <sheetName val="Steigerungsgrenze PSG II"/>
      <sheetName val="Erläuterungen Steigerungsgrenze"/>
      <sheetName val="Mitteilung örtl. SozA_PG"/>
      <sheetName val="Pauschal"/>
      <sheetName val="Schaltjahr"/>
      <sheetName val="Abschlussverfügungen"/>
      <sheetName val="Mitteilung örtl. SozA_Pauschale"/>
      <sheetName val="Protokoll"/>
      <sheetName val="Nebenberechnungen SGB V"/>
      <sheetName val="Vorab"/>
      <sheetName val="Vorab PS+KZP fix flex"/>
      <sheetName val="Vorab nur KZP fix flex"/>
      <sheetName val="Teilnehmerliste"/>
      <sheetName val="Kontakte"/>
      <sheetName val="Übersicht + Berechnung"/>
      <sheetName val="Nachweis § 43b"/>
      <sheetName val="Angebotsprotokoll"/>
      <sheetName val="Ergebnis § 43b"/>
      <sheetName val="Abschlussarbeiten"/>
      <sheetName val="BKK PG"/>
      <sheetName val="BKK 43b"/>
      <sheetName val="DB"/>
      <sheetName val="vdek"/>
      <sheetName val="Datenbank LVR"/>
      <sheetName val="LWL örtl. Träger"/>
      <sheetName val="LWL Pflegekassen"/>
      <sheetName val="LWL Träger"/>
      <sheetName val="§ 132 a SGB V "/>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ngaben"/>
      <sheetName val="Daten PE"/>
      <sheetName val="BT"/>
      <sheetName val="PK"/>
      <sheetName val="SK"/>
      <sheetName val="Nachweis §87b"/>
      <sheetName val="Ergebnis"/>
      <sheetName val="Nebenrechnungen"/>
      <sheetName val="interne Betrachtung"/>
      <sheetName val="Anschreiben NO"/>
      <sheetName val="Anschreiben WL"/>
      <sheetName val="Protokoll"/>
      <sheetName val="Umrechnungsschema"/>
      <sheetName val="Personalabgleich"/>
      <sheetName val="VV 84-85-87 WL"/>
      <sheetName val="§ 132 a SGB V "/>
      <sheetName val="Datenbankwerte"/>
      <sheetName val="PSG II"/>
      <sheetName val="Datenbereich2"/>
      <sheetName val="Mod"/>
      <sheetName val="copy &amp; paste"/>
      <sheetName val="Übersicht + Berechnung"/>
    </sheetNames>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6.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32.bin"/><Relationship Id="rId4" Type="http://schemas.openxmlformats.org/officeDocument/2006/relationships/comments" Target="../comments1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4.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8.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F884"/>
  <sheetViews>
    <sheetView zoomScaleNormal="100" workbookViewId="0">
      <pane ySplit="1" topLeftCell="A126" activePane="bottomLeft" state="frozen"/>
      <selection activeCell="B5" sqref="B5:D5"/>
      <selection pane="bottomLeft" activeCell="D180" sqref="D180"/>
    </sheetView>
  </sheetViews>
  <sheetFormatPr baseColWidth="10" defaultColWidth="11.42578125" defaultRowHeight="12.75"/>
  <cols>
    <col min="1" max="1" width="11.5703125" style="607" customWidth="1"/>
    <col min="2" max="2" width="52.140625" style="607" bestFit="1" customWidth="1"/>
    <col min="3" max="3" width="51" style="607" bestFit="1" customWidth="1"/>
    <col min="4" max="4" width="113.140625" style="607" customWidth="1"/>
    <col min="5" max="5" width="22.5703125" style="607" bestFit="1" customWidth="1"/>
    <col min="6" max="16384" width="11.42578125" style="607"/>
  </cols>
  <sheetData>
    <row r="1" spans="1:5" ht="13.5" thickBot="1">
      <c r="A1" s="604" t="s">
        <v>801</v>
      </c>
      <c r="B1" s="605" t="s">
        <v>802</v>
      </c>
      <c r="C1" s="605" t="s">
        <v>803</v>
      </c>
      <c r="D1" s="605" t="s">
        <v>804</v>
      </c>
      <c r="E1" s="606" t="s">
        <v>805</v>
      </c>
    </row>
    <row r="2" spans="1:5">
      <c r="A2" s="603">
        <v>44110</v>
      </c>
      <c r="B2" s="601" t="s">
        <v>1442</v>
      </c>
      <c r="C2" s="601"/>
      <c r="D2" s="601" t="s">
        <v>1458</v>
      </c>
      <c r="E2" s="601" t="s">
        <v>1013</v>
      </c>
    </row>
    <row r="3" spans="1:5">
      <c r="A3" s="603"/>
      <c r="B3" s="601" t="s">
        <v>1457</v>
      </c>
      <c r="C3" s="601"/>
      <c r="D3" s="601" t="s">
        <v>1458</v>
      </c>
      <c r="E3" s="601" t="s">
        <v>1013</v>
      </c>
    </row>
    <row r="4" spans="1:5">
      <c r="A4" s="603"/>
      <c r="B4" s="601" t="s">
        <v>1459</v>
      </c>
      <c r="C4" s="601" t="s">
        <v>1460</v>
      </c>
      <c r="D4" s="601" t="s">
        <v>1466</v>
      </c>
      <c r="E4" s="601" t="s">
        <v>1013</v>
      </c>
    </row>
    <row r="5" spans="1:5">
      <c r="A5" s="603"/>
      <c r="B5" s="602"/>
      <c r="C5" s="602" t="s">
        <v>1461</v>
      </c>
      <c r="D5" s="602" t="s">
        <v>1462</v>
      </c>
      <c r="E5" s="602" t="s">
        <v>1013</v>
      </c>
    </row>
    <row r="6" spans="1:5">
      <c r="A6" s="603"/>
      <c r="B6" s="602"/>
      <c r="C6" s="602" t="s">
        <v>1463</v>
      </c>
      <c r="D6" s="602" t="s">
        <v>1464</v>
      </c>
      <c r="E6" s="602" t="s">
        <v>1013</v>
      </c>
    </row>
    <row r="7" spans="1:5">
      <c r="A7" s="603"/>
      <c r="B7" s="602"/>
      <c r="C7" s="602" t="s">
        <v>1465</v>
      </c>
      <c r="D7" s="602" t="s">
        <v>1466</v>
      </c>
      <c r="E7" s="602" t="s">
        <v>1013</v>
      </c>
    </row>
    <row r="8" spans="1:5">
      <c r="A8" s="603">
        <v>44126</v>
      </c>
      <c r="B8" s="602" t="s">
        <v>843</v>
      </c>
      <c r="C8" s="602" t="s">
        <v>1467</v>
      </c>
      <c r="D8" s="602" t="s">
        <v>1468</v>
      </c>
      <c r="E8" s="602" t="s">
        <v>1469</v>
      </c>
    </row>
    <row r="9" spans="1:5">
      <c r="A9" s="603"/>
      <c r="B9" s="602" t="s">
        <v>1470</v>
      </c>
      <c r="C9" s="602" t="s">
        <v>1471</v>
      </c>
      <c r="D9" s="602" t="s">
        <v>1468</v>
      </c>
      <c r="E9" s="602" t="s">
        <v>1013</v>
      </c>
    </row>
    <row r="10" spans="1:5">
      <c r="A10" s="603">
        <v>44141</v>
      </c>
      <c r="B10" s="602" t="s">
        <v>1472</v>
      </c>
      <c r="C10" s="602" t="s">
        <v>1473</v>
      </c>
      <c r="D10" s="602" t="s">
        <v>1474</v>
      </c>
      <c r="E10" s="602" t="s">
        <v>1013</v>
      </c>
    </row>
    <row r="11" spans="1:5">
      <c r="A11" s="603"/>
      <c r="B11" s="602" t="s">
        <v>1459</v>
      </c>
      <c r="C11" s="602" t="s">
        <v>1486</v>
      </c>
      <c r="D11" s="602" t="s">
        <v>1487</v>
      </c>
      <c r="E11" s="602" t="s">
        <v>1013</v>
      </c>
    </row>
    <row r="12" spans="1:5">
      <c r="A12" s="603"/>
      <c r="B12" s="601" t="s">
        <v>1488</v>
      </c>
      <c r="C12" s="602" t="s">
        <v>1489</v>
      </c>
      <c r="D12" s="602" t="s">
        <v>1490</v>
      </c>
      <c r="E12" s="602" t="s">
        <v>1013</v>
      </c>
    </row>
    <row r="13" spans="1:5">
      <c r="A13" s="603">
        <v>44160</v>
      </c>
      <c r="B13" s="601" t="s">
        <v>1492</v>
      </c>
      <c r="C13" s="602" t="s">
        <v>1493</v>
      </c>
      <c r="D13" s="602" t="s">
        <v>1494</v>
      </c>
      <c r="E13" s="601" t="s">
        <v>1013</v>
      </c>
    </row>
    <row r="14" spans="1:5">
      <c r="A14" s="603"/>
      <c r="B14" s="601" t="s">
        <v>1492</v>
      </c>
      <c r="C14" s="602" t="s">
        <v>1495</v>
      </c>
      <c r="D14" s="602" t="s">
        <v>1496</v>
      </c>
      <c r="E14" s="601" t="s">
        <v>1013</v>
      </c>
    </row>
    <row r="15" spans="1:5">
      <c r="A15" s="603">
        <v>44173</v>
      </c>
      <c r="B15" s="601" t="s">
        <v>1497</v>
      </c>
      <c r="C15" s="602" t="s">
        <v>1498</v>
      </c>
      <c r="D15" s="602" t="s">
        <v>1499</v>
      </c>
      <c r="E15" s="601" t="s">
        <v>1013</v>
      </c>
    </row>
    <row r="16" spans="1:5">
      <c r="A16" s="603">
        <v>44176</v>
      </c>
      <c r="B16" s="601" t="s">
        <v>1547</v>
      </c>
      <c r="C16" s="602" t="s">
        <v>1548</v>
      </c>
      <c r="D16" s="602" t="s">
        <v>1549</v>
      </c>
      <c r="E16" s="601" t="s">
        <v>1013</v>
      </c>
    </row>
    <row r="17" spans="1:6">
      <c r="A17" s="603"/>
      <c r="B17" s="601" t="s">
        <v>1550</v>
      </c>
      <c r="C17" s="602" t="s">
        <v>1548</v>
      </c>
      <c r="D17" s="602" t="s">
        <v>1549</v>
      </c>
      <c r="E17" s="601" t="s">
        <v>1013</v>
      </c>
    </row>
    <row r="18" spans="1:6">
      <c r="A18" s="603">
        <v>44195</v>
      </c>
      <c r="B18" s="601" t="s">
        <v>1553</v>
      </c>
      <c r="C18" s="602"/>
      <c r="D18" s="602" t="s">
        <v>1554</v>
      </c>
      <c r="E18" s="601" t="s">
        <v>1555</v>
      </c>
    </row>
    <row r="19" spans="1:6">
      <c r="A19" s="603">
        <v>44211</v>
      </c>
      <c r="B19" s="601" t="s">
        <v>1557</v>
      </c>
      <c r="C19" s="602"/>
      <c r="D19" s="602" t="s">
        <v>1558</v>
      </c>
      <c r="E19" s="601" t="s">
        <v>1013</v>
      </c>
    </row>
    <row r="20" spans="1:6">
      <c r="A20" s="603">
        <v>44267</v>
      </c>
      <c r="B20" s="601" t="s">
        <v>1547</v>
      </c>
      <c r="C20" s="602" t="s">
        <v>1560</v>
      </c>
      <c r="D20" s="602" t="s">
        <v>1561</v>
      </c>
      <c r="E20" s="601" t="s">
        <v>1013</v>
      </c>
    </row>
    <row r="21" spans="1:6">
      <c r="A21" s="603"/>
      <c r="B21" s="601"/>
      <c r="C21" s="602" t="s">
        <v>1562</v>
      </c>
      <c r="D21" s="602" t="s">
        <v>1561</v>
      </c>
      <c r="E21" s="601" t="s">
        <v>1013</v>
      </c>
    </row>
    <row r="22" spans="1:6">
      <c r="A22" s="603"/>
      <c r="B22" s="601" t="s">
        <v>1550</v>
      </c>
      <c r="C22" s="602" t="s">
        <v>1563</v>
      </c>
      <c r="D22" s="602" t="s">
        <v>1561</v>
      </c>
      <c r="E22" s="601" t="s">
        <v>1013</v>
      </c>
    </row>
    <row r="23" spans="1:6">
      <c r="A23" s="603"/>
      <c r="B23" s="601" t="s">
        <v>1470</v>
      </c>
      <c r="C23" s="602" t="s">
        <v>1564</v>
      </c>
      <c r="D23" s="602" t="s">
        <v>1561</v>
      </c>
      <c r="E23" s="601" t="s">
        <v>1013</v>
      </c>
    </row>
    <row r="24" spans="1:6">
      <c r="A24" s="603"/>
      <c r="B24" s="601" t="s">
        <v>1565</v>
      </c>
      <c r="C24" s="602"/>
      <c r="D24" s="602" t="s">
        <v>1568</v>
      </c>
      <c r="E24" s="601" t="s">
        <v>1013</v>
      </c>
      <c r="F24" s="601"/>
    </row>
    <row r="25" spans="1:6">
      <c r="A25" s="603"/>
      <c r="B25" s="601" t="s">
        <v>1566</v>
      </c>
      <c r="C25" s="602"/>
      <c r="D25" s="602" t="s">
        <v>1568</v>
      </c>
      <c r="E25" s="601" t="s">
        <v>1013</v>
      </c>
    </row>
    <row r="26" spans="1:6">
      <c r="A26" s="603"/>
      <c r="B26" s="601" t="s">
        <v>1567</v>
      </c>
      <c r="C26" s="601"/>
      <c r="D26" s="602" t="s">
        <v>1568</v>
      </c>
      <c r="E26" s="601" t="s">
        <v>1013</v>
      </c>
    </row>
    <row r="27" spans="1:6">
      <c r="A27" s="603">
        <v>44270</v>
      </c>
      <c r="B27" s="601" t="s">
        <v>1579</v>
      </c>
      <c r="C27" s="601" t="s">
        <v>1578</v>
      </c>
      <c r="D27" s="602" t="s">
        <v>1580</v>
      </c>
      <c r="E27" s="601" t="s">
        <v>1581</v>
      </c>
    </row>
    <row r="28" spans="1:6">
      <c r="A28" s="603">
        <v>44375</v>
      </c>
      <c r="B28" s="601" t="s">
        <v>1783</v>
      </c>
      <c r="C28" s="601" t="s">
        <v>1801</v>
      </c>
      <c r="D28" s="602" t="s">
        <v>1784</v>
      </c>
      <c r="E28" s="601" t="s">
        <v>1254</v>
      </c>
    </row>
    <row r="29" spans="1:6">
      <c r="A29" s="603"/>
      <c r="B29" s="601"/>
      <c r="C29" s="601" t="s">
        <v>1797</v>
      </c>
      <c r="D29" s="602" t="s">
        <v>1802</v>
      </c>
      <c r="E29" s="601" t="s">
        <v>1254</v>
      </c>
    </row>
    <row r="30" spans="1:6">
      <c r="A30" s="603"/>
      <c r="B30" s="601"/>
      <c r="C30" s="601" t="s">
        <v>1799</v>
      </c>
      <c r="D30" s="602" t="s">
        <v>1804</v>
      </c>
      <c r="E30" s="601" t="s">
        <v>1254</v>
      </c>
    </row>
    <row r="31" spans="1:6">
      <c r="A31" s="603"/>
      <c r="B31" s="601"/>
      <c r="C31" s="601" t="s">
        <v>1798</v>
      </c>
      <c r="D31" s="602" t="s">
        <v>1803</v>
      </c>
      <c r="E31" s="601" t="s">
        <v>1254</v>
      </c>
    </row>
    <row r="32" spans="1:6">
      <c r="A32" s="603"/>
      <c r="B32" s="601"/>
      <c r="C32" s="601" t="s">
        <v>1800</v>
      </c>
      <c r="D32" s="602" t="s">
        <v>1805</v>
      </c>
      <c r="E32" s="601" t="s">
        <v>1254</v>
      </c>
    </row>
    <row r="33" spans="1:6">
      <c r="A33" s="603">
        <v>44378</v>
      </c>
      <c r="B33" s="601" t="s">
        <v>1547</v>
      </c>
      <c r="C33" s="601" t="s">
        <v>1807</v>
      </c>
      <c r="D33" s="602" t="s">
        <v>1809</v>
      </c>
      <c r="E33" s="601" t="s">
        <v>1811</v>
      </c>
    </row>
    <row r="34" spans="1:6">
      <c r="A34" s="603"/>
      <c r="B34" s="601"/>
      <c r="C34" s="601" t="s">
        <v>1808</v>
      </c>
      <c r="D34" s="602" t="s">
        <v>1810</v>
      </c>
      <c r="E34" s="601" t="s">
        <v>1811</v>
      </c>
    </row>
    <row r="35" spans="1:6">
      <c r="A35" s="603"/>
      <c r="B35" s="601" t="s">
        <v>226</v>
      </c>
      <c r="C35" s="601" t="s">
        <v>1813</v>
      </c>
      <c r="D35" s="602" t="s">
        <v>1814</v>
      </c>
      <c r="E35" s="601" t="s">
        <v>1811</v>
      </c>
    </row>
    <row r="36" spans="1:6">
      <c r="A36" s="603"/>
      <c r="B36" s="601" t="s">
        <v>843</v>
      </c>
      <c r="C36" s="601" t="s">
        <v>1815</v>
      </c>
      <c r="D36" s="602" t="s">
        <v>1814</v>
      </c>
      <c r="E36" s="601" t="s">
        <v>1811</v>
      </c>
    </row>
    <row r="37" spans="1:6">
      <c r="A37" s="603">
        <v>44400</v>
      </c>
      <c r="B37" s="601" t="s">
        <v>1472</v>
      </c>
      <c r="C37" s="601" t="s">
        <v>1817</v>
      </c>
      <c r="D37" s="602" t="s">
        <v>1816</v>
      </c>
      <c r="E37" s="601" t="s">
        <v>1821</v>
      </c>
    </row>
    <row r="38" spans="1:6">
      <c r="A38" s="603"/>
      <c r="B38" s="601"/>
      <c r="C38" s="601"/>
      <c r="D38" s="602" t="s">
        <v>1818</v>
      </c>
      <c r="E38" s="601"/>
    </row>
    <row r="39" spans="1:6">
      <c r="A39" s="603"/>
      <c r="B39" s="601" t="s">
        <v>1783</v>
      </c>
      <c r="C39" s="601" t="s">
        <v>1819</v>
      </c>
      <c r="D39" s="602" t="s">
        <v>1820</v>
      </c>
      <c r="E39" s="601" t="s">
        <v>1555</v>
      </c>
    </row>
    <row r="40" spans="1:6">
      <c r="A40" s="603"/>
      <c r="B40" s="601" t="s">
        <v>1783</v>
      </c>
      <c r="C40" s="601" t="s">
        <v>1822</v>
      </c>
      <c r="D40" s="602" t="s">
        <v>1834</v>
      </c>
      <c r="E40" s="601" t="s">
        <v>1253</v>
      </c>
    </row>
    <row r="41" spans="1:6">
      <c r="A41" s="603">
        <v>44405</v>
      </c>
      <c r="B41" s="601" t="s">
        <v>1829</v>
      </c>
      <c r="C41" s="601" t="s">
        <v>1830</v>
      </c>
      <c r="D41" s="602" t="s">
        <v>1831</v>
      </c>
      <c r="E41" s="601" t="s">
        <v>1254</v>
      </c>
    </row>
    <row r="42" spans="1:6">
      <c r="A42" s="603"/>
      <c r="B42" s="601"/>
      <c r="C42" s="601" t="s">
        <v>1832</v>
      </c>
      <c r="D42" s="602" t="s">
        <v>1833</v>
      </c>
      <c r="E42" s="601" t="s">
        <v>1254</v>
      </c>
    </row>
    <row r="43" spans="1:6">
      <c r="A43" s="603"/>
      <c r="B43" s="601"/>
      <c r="C43" s="601"/>
      <c r="D43" s="602" t="s">
        <v>1835</v>
      </c>
      <c r="E43" s="601" t="s">
        <v>1254</v>
      </c>
    </row>
    <row r="44" spans="1:6">
      <c r="A44" s="603">
        <v>44417</v>
      </c>
      <c r="B44" s="601" t="s">
        <v>1470</v>
      </c>
      <c r="C44" s="601" t="s">
        <v>1847</v>
      </c>
      <c r="D44" s="601" t="s">
        <v>1848</v>
      </c>
      <c r="E44" s="601" t="s">
        <v>1849</v>
      </c>
    </row>
    <row r="45" spans="1:6">
      <c r="A45" s="603"/>
      <c r="B45" s="601"/>
      <c r="C45" s="601" t="s">
        <v>1850</v>
      </c>
      <c r="D45" s="601" t="s">
        <v>1851</v>
      </c>
      <c r="E45" s="601" t="s">
        <v>1849</v>
      </c>
    </row>
    <row r="46" spans="1:6">
      <c r="A46" s="603"/>
      <c r="B46" s="601"/>
      <c r="C46" s="601" t="s">
        <v>1852</v>
      </c>
      <c r="D46" s="601" t="s">
        <v>1853</v>
      </c>
      <c r="E46" s="601" t="s">
        <v>1849</v>
      </c>
    </row>
    <row r="47" spans="1:6">
      <c r="A47" s="603">
        <v>44420</v>
      </c>
      <c r="B47" s="601" t="s">
        <v>1550</v>
      </c>
      <c r="C47" s="601" t="s">
        <v>1855</v>
      </c>
      <c r="D47" s="602" t="s">
        <v>1856</v>
      </c>
      <c r="E47" s="601" t="s">
        <v>1254</v>
      </c>
    </row>
    <row r="48" spans="1:6">
      <c r="A48" s="603"/>
      <c r="B48" s="601" t="s">
        <v>1829</v>
      </c>
      <c r="C48" s="601" t="s">
        <v>1857</v>
      </c>
      <c r="D48" s="602" t="s">
        <v>1858</v>
      </c>
      <c r="E48" s="601" t="s">
        <v>1254</v>
      </c>
      <c r="F48" s="602"/>
    </row>
    <row r="49" spans="1:6">
      <c r="A49" s="603">
        <v>44483</v>
      </c>
      <c r="B49" s="601" t="s">
        <v>1550</v>
      </c>
      <c r="C49" s="601" t="s">
        <v>1855</v>
      </c>
      <c r="D49" s="601" t="s">
        <v>1859</v>
      </c>
      <c r="E49" s="601" t="s">
        <v>1254</v>
      </c>
      <c r="F49" s="602"/>
    </row>
    <row r="50" spans="1:6">
      <c r="A50" s="603"/>
      <c r="B50" s="601" t="s">
        <v>1829</v>
      </c>
      <c r="C50" s="601" t="s">
        <v>1857</v>
      </c>
      <c r="D50" s="601" t="s">
        <v>1858</v>
      </c>
      <c r="E50" s="601" t="s">
        <v>1254</v>
      </c>
      <c r="F50" s="602"/>
    </row>
    <row r="51" spans="1:6">
      <c r="A51" s="603"/>
      <c r="B51" s="601" t="s">
        <v>1470</v>
      </c>
      <c r="C51" s="601" t="s">
        <v>1860</v>
      </c>
      <c r="D51" s="601" t="s">
        <v>1861</v>
      </c>
      <c r="E51" s="601" t="s">
        <v>1862</v>
      </c>
      <c r="F51" s="602"/>
    </row>
    <row r="52" spans="1:6">
      <c r="A52" s="603"/>
      <c r="C52" s="601" t="s">
        <v>1863</v>
      </c>
      <c r="D52" s="601" t="s">
        <v>1864</v>
      </c>
      <c r="E52" s="601" t="s">
        <v>1865</v>
      </c>
    </row>
    <row r="53" spans="1:6">
      <c r="A53" s="603"/>
      <c r="B53" s="601"/>
      <c r="C53" s="601" t="s">
        <v>1866</v>
      </c>
      <c r="D53" s="601" t="s">
        <v>1867</v>
      </c>
      <c r="E53" s="601" t="s">
        <v>1254</v>
      </c>
    </row>
    <row r="54" spans="1:6">
      <c r="A54" s="603">
        <v>44494</v>
      </c>
      <c r="B54" s="601" t="s">
        <v>1868</v>
      </c>
      <c r="C54" s="608"/>
      <c r="D54" s="602" t="s">
        <v>1869</v>
      </c>
      <c r="E54" s="601" t="s">
        <v>1254</v>
      </c>
    </row>
    <row r="55" spans="1:6">
      <c r="A55" s="603">
        <v>44536</v>
      </c>
      <c r="B55" s="601" t="s">
        <v>1829</v>
      </c>
      <c r="C55" s="601" t="s">
        <v>1886</v>
      </c>
      <c r="D55" s="602" t="s">
        <v>1892</v>
      </c>
      <c r="E55" s="601" t="s">
        <v>1254</v>
      </c>
    </row>
    <row r="56" spans="1:6">
      <c r="A56" s="603"/>
      <c r="D56" s="602" t="s">
        <v>1893</v>
      </c>
      <c r="E56" s="601"/>
    </row>
    <row r="57" spans="1:6">
      <c r="A57" s="603"/>
      <c r="B57" s="601" t="s">
        <v>1887</v>
      </c>
      <c r="C57" s="601" t="s">
        <v>1886</v>
      </c>
      <c r="D57" s="602" t="s">
        <v>1904</v>
      </c>
      <c r="E57" s="601" t="s">
        <v>1254</v>
      </c>
    </row>
    <row r="58" spans="1:6">
      <c r="A58" s="603">
        <v>44550</v>
      </c>
      <c r="B58" s="601" t="s">
        <v>1547</v>
      </c>
      <c r="C58" s="601" t="s">
        <v>1888</v>
      </c>
      <c r="D58" s="602" t="s">
        <v>1889</v>
      </c>
      <c r="E58" s="601" t="s">
        <v>1254</v>
      </c>
    </row>
    <row r="59" spans="1:6">
      <c r="A59" s="603">
        <v>44550</v>
      </c>
      <c r="B59" s="601" t="s">
        <v>766</v>
      </c>
      <c r="C59" s="601" t="s">
        <v>1890</v>
      </c>
      <c r="D59" s="602" t="s">
        <v>1891</v>
      </c>
      <c r="E59" s="601" t="s">
        <v>1254</v>
      </c>
      <c r="F59" s="602"/>
    </row>
    <row r="60" spans="1:6">
      <c r="A60" s="603">
        <v>44553</v>
      </c>
      <c r="B60" s="601" t="s">
        <v>1472</v>
      </c>
      <c r="C60" s="601" t="s">
        <v>1817</v>
      </c>
      <c r="D60" s="602" t="s">
        <v>1907</v>
      </c>
      <c r="E60" s="601" t="s">
        <v>1013</v>
      </c>
    </row>
    <row r="61" spans="1:6">
      <c r="A61" s="603">
        <v>44557</v>
      </c>
      <c r="B61" s="601" t="s">
        <v>1470</v>
      </c>
      <c r="C61" s="607" t="s">
        <v>1908</v>
      </c>
      <c r="D61" s="601" t="s">
        <v>1909</v>
      </c>
      <c r="E61" s="601" t="s">
        <v>1254</v>
      </c>
    </row>
    <row r="62" spans="1:6">
      <c r="A62" s="603">
        <v>44558</v>
      </c>
      <c r="B62" s="601" t="s">
        <v>1547</v>
      </c>
      <c r="C62" s="601" t="s">
        <v>1910</v>
      </c>
      <c r="D62" s="602" t="s">
        <v>1911</v>
      </c>
      <c r="E62" s="601" t="s">
        <v>1254</v>
      </c>
      <c r="F62" s="602"/>
    </row>
    <row r="63" spans="1:6">
      <c r="A63" s="603">
        <v>44624</v>
      </c>
      <c r="B63" s="601" t="s">
        <v>1472</v>
      </c>
      <c r="C63" s="601" t="s">
        <v>1971</v>
      </c>
      <c r="D63" s="602" t="s">
        <v>1972</v>
      </c>
      <c r="E63" s="601" t="s">
        <v>1013</v>
      </c>
    </row>
    <row r="64" spans="1:6">
      <c r="A64" s="603"/>
      <c r="B64" s="601" t="s">
        <v>1887</v>
      </c>
      <c r="C64" s="601" t="s">
        <v>1982</v>
      </c>
      <c r="D64" s="602" t="s">
        <v>1983</v>
      </c>
      <c r="E64" s="601" t="s">
        <v>1013</v>
      </c>
    </row>
    <row r="65" spans="1:6">
      <c r="A65" s="603"/>
      <c r="B65" s="601" t="s">
        <v>1829</v>
      </c>
      <c r="C65" s="601" t="s">
        <v>1984</v>
      </c>
      <c r="D65" s="602" t="s">
        <v>1985</v>
      </c>
      <c r="E65" s="601" t="s">
        <v>1986</v>
      </c>
    </row>
    <row r="66" spans="1:6">
      <c r="A66" s="603"/>
      <c r="B66" s="601"/>
      <c r="C66" s="601" t="s">
        <v>1987</v>
      </c>
      <c r="D66" s="602" t="s">
        <v>1988</v>
      </c>
      <c r="E66" s="601" t="s">
        <v>1986</v>
      </c>
    </row>
    <row r="67" spans="1:6">
      <c r="A67" s="603"/>
      <c r="B67" s="601"/>
      <c r="C67" s="601" t="s">
        <v>1989</v>
      </c>
      <c r="D67" s="602" t="s">
        <v>1990</v>
      </c>
      <c r="E67" s="601" t="s">
        <v>1991</v>
      </c>
    </row>
    <row r="68" spans="1:6">
      <c r="A68" s="603"/>
      <c r="B68" s="601"/>
      <c r="C68" s="601" t="s">
        <v>1992</v>
      </c>
      <c r="D68" s="602" t="s">
        <v>1993</v>
      </c>
      <c r="E68" s="601" t="s">
        <v>1013</v>
      </c>
    </row>
    <row r="69" spans="1:6">
      <c r="A69" s="603"/>
      <c r="B69" s="601" t="s">
        <v>1975</v>
      </c>
      <c r="C69" s="601" t="s">
        <v>1977</v>
      </c>
      <c r="D69" s="602" t="s">
        <v>1976</v>
      </c>
      <c r="E69" s="601" t="s">
        <v>1013</v>
      </c>
      <c r="F69" s="602"/>
    </row>
    <row r="70" spans="1:6">
      <c r="A70" s="603"/>
      <c r="B70" s="601" t="s">
        <v>1557</v>
      </c>
      <c r="D70" s="602" t="s">
        <v>1974</v>
      </c>
      <c r="E70" s="601" t="s">
        <v>1013</v>
      </c>
    </row>
    <row r="71" spans="1:6">
      <c r="A71" s="603">
        <v>44910</v>
      </c>
      <c r="B71" s="601" t="s">
        <v>1547</v>
      </c>
      <c r="C71" s="601" t="s">
        <v>1995</v>
      </c>
      <c r="D71" s="602" t="s">
        <v>1996</v>
      </c>
      <c r="E71" s="601" t="s">
        <v>1254</v>
      </c>
    </row>
    <row r="72" spans="1:6">
      <c r="A72" s="603"/>
      <c r="C72" s="601" t="s">
        <v>1997</v>
      </c>
      <c r="D72" s="602" t="s">
        <v>1998</v>
      </c>
      <c r="E72" s="601" t="s">
        <v>1254</v>
      </c>
    </row>
    <row r="73" spans="1:6">
      <c r="A73" s="603"/>
      <c r="B73" s="601" t="s">
        <v>1550</v>
      </c>
      <c r="C73" s="607" t="s">
        <v>1999</v>
      </c>
      <c r="D73" s="602" t="s">
        <v>2000</v>
      </c>
      <c r="E73" s="601" t="s">
        <v>1254</v>
      </c>
    </row>
    <row r="74" spans="1:6">
      <c r="A74" s="603"/>
      <c r="B74" s="607" t="s">
        <v>843</v>
      </c>
      <c r="C74" s="607" t="s">
        <v>2001</v>
      </c>
      <c r="D74" s="602" t="s">
        <v>2002</v>
      </c>
      <c r="E74" s="601" t="s">
        <v>1013</v>
      </c>
    </row>
    <row r="75" spans="1:6">
      <c r="A75" s="603"/>
      <c r="B75" s="601" t="s">
        <v>2012</v>
      </c>
      <c r="C75" s="607" t="s">
        <v>2003</v>
      </c>
      <c r="D75" s="602" t="s">
        <v>2025</v>
      </c>
      <c r="E75" s="601" t="s">
        <v>1254</v>
      </c>
    </row>
    <row r="76" spans="1:6">
      <c r="A76" s="603"/>
      <c r="B76" s="607" t="s">
        <v>1472</v>
      </c>
      <c r="C76" s="607" t="s">
        <v>992</v>
      </c>
      <c r="D76" s="602" t="s">
        <v>2007</v>
      </c>
      <c r="E76" s="601" t="s">
        <v>1254</v>
      </c>
    </row>
    <row r="77" spans="1:6">
      <c r="A77" s="603"/>
      <c r="D77" s="602" t="s">
        <v>2008</v>
      </c>
      <c r="E77" s="601"/>
    </row>
    <row r="78" spans="1:6">
      <c r="A78" s="603"/>
      <c r="B78" s="601" t="s">
        <v>1829</v>
      </c>
      <c r="C78" s="601" t="s">
        <v>2009</v>
      </c>
      <c r="D78" s="602" t="s">
        <v>2025</v>
      </c>
      <c r="E78" s="601" t="s">
        <v>1254</v>
      </c>
    </row>
    <row r="79" spans="1:6">
      <c r="A79" s="603"/>
      <c r="B79" s="601" t="s">
        <v>1459</v>
      </c>
      <c r="C79" s="601" t="s">
        <v>990</v>
      </c>
      <c r="D79" s="602" t="s">
        <v>2010</v>
      </c>
      <c r="E79" s="601" t="s">
        <v>1254</v>
      </c>
    </row>
    <row r="80" spans="1:6">
      <c r="A80" s="603"/>
      <c r="B80" s="607" t="s">
        <v>1557</v>
      </c>
      <c r="D80" s="602" t="s">
        <v>1994</v>
      </c>
      <c r="E80" s="601" t="s">
        <v>1254</v>
      </c>
    </row>
    <row r="81" spans="1:5">
      <c r="A81" s="603">
        <v>44966</v>
      </c>
      <c r="B81" s="607" t="s">
        <v>1868</v>
      </c>
      <c r="D81" s="602" t="s">
        <v>2013</v>
      </c>
      <c r="E81" s="601" t="s">
        <v>1254</v>
      </c>
    </row>
    <row r="82" spans="1:5">
      <c r="A82" s="603"/>
      <c r="B82" s="607" t="s">
        <v>2014</v>
      </c>
      <c r="D82" s="602" t="s">
        <v>2013</v>
      </c>
      <c r="E82" s="601" t="s">
        <v>1254</v>
      </c>
    </row>
    <row r="83" spans="1:5">
      <c r="A83" s="603"/>
      <c r="B83" s="607" t="s">
        <v>1829</v>
      </c>
      <c r="C83" s="607" t="s">
        <v>2021</v>
      </c>
      <c r="D83" s="602" t="s">
        <v>2022</v>
      </c>
      <c r="E83" s="601" t="s">
        <v>1254</v>
      </c>
    </row>
    <row r="84" spans="1:5">
      <c r="A84" s="603"/>
      <c r="B84" s="601" t="s">
        <v>1829</v>
      </c>
      <c r="C84" s="601" t="s">
        <v>2023</v>
      </c>
      <c r="D84" s="602" t="s">
        <v>2024</v>
      </c>
      <c r="E84" s="601" t="s">
        <v>1254</v>
      </c>
    </row>
    <row r="85" spans="1:5">
      <c r="A85" s="603">
        <v>44970</v>
      </c>
      <c r="B85" s="601" t="s">
        <v>1472</v>
      </c>
      <c r="C85" s="601" t="s">
        <v>2033</v>
      </c>
      <c r="D85" s="602" t="s">
        <v>2034</v>
      </c>
      <c r="E85" s="601" t="s">
        <v>1254</v>
      </c>
    </row>
    <row r="86" spans="1:5">
      <c r="A86" s="603"/>
      <c r="B86" s="601" t="s">
        <v>1459</v>
      </c>
      <c r="C86" s="601" t="s">
        <v>117</v>
      </c>
      <c r="D86" s="602" t="s">
        <v>2041</v>
      </c>
      <c r="E86" s="601" t="s">
        <v>1254</v>
      </c>
    </row>
    <row r="87" spans="1:5">
      <c r="A87" s="603"/>
      <c r="B87" s="601" t="s">
        <v>1488</v>
      </c>
      <c r="C87" s="601" t="s">
        <v>117</v>
      </c>
      <c r="D87" s="602" t="s">
        <v>2041</v>
      </c>
      <c r="E87" s="601" t="s">
        <v>1254</v>
      </c>
    </row>
    <row r="88" spans="1:5">
      <c r="A88" s="603">
        <v>44981</v>
      </c>
      <c r="B88" s="607" t="s">
        <v>1492</v>
      </c>
      <c r="D88" s="602" t="s">
        <v>2043</v>
      </c>
      <c r="E88" s="601" t="s">
        <v>1254</v>
      </c>
    </row>
    <row r="89" spans="1:5">
      <c r="A89" s="603">
        <v>45096</v>
      </c>
      <c r="B89" s="601" t="s">
        <v>2090</v>
      </c>
      <c r="D89" s="602" t="s">
        <v>2091</v>
      </c>
      <c r="E89" s="601" t="s">
        <v>1063</v>
      </c>
    </row>
    <row r="90" spans="1:5">
      <c r="A90" s="603"/>
      <c r="B90" s="601" t="s">
        <v>1547</v>
      </c>
      <c r="C90" s="601" t="s">
        <v>2092</v>
      </c>
      <c r="D90" s="602" t="s">
        <v>2093</v>
      </c>
      <c r="E90" s="601" t="s">
        <v>1063</v>
      </c>
    </row>
    <row r="91" spans="1:5">
      <c r="A91" s="603"/>
      <c r="B91" s="601"/>
      <c r="C91" s="601" t="s">
        <v>2104</v>
      </c>
      <c r="D91" s="602" t="s">
        <v>2105</v>
      </c>
      <c r="E91" s="601" t="s">
        <v>1063</v>
      </c>
    </row>
    <row r="92" spans="1:5">
      <c r="A92" s="603"/>
      <c r="B92" s="601" t="s">
        <v>226</v>
      </c>
      <c r="C92" s="601" t="s">
        <v>2094</v>
      </c>
      <c r="D92" s="602" t="s">
        <v>2093</v>
      </c>
      <c r="E92" s="601" t="s">
        <v>1063</v>
      </c>
    </row>
    <row r="93" spans="1:5">
      <c r="A93" s="603"/>
      <c r="B93" s="601" t="s">
        <v>843</v>
      </c>
      <c r="C93" s="601" t="s">
        <v>2095</v>
      </c>
      <c r="D93" s="602" t="s">
        <v>2096</v>
      </c>
      <c r="E93" s="601" t="s">
        <v>1063</v>
      </c>
    </row>
    <row r="94" spans="1:5">
      <c r="A94" s="603"/>
      <c r="B94" s="601"/>
      <c r="C94" s="601" t="s">
        <v>2097</v>
      </c>
      <c r="D94" s="602" t="s">
        <v>2103</v>
      </c>
      <c r="E94" s="601" t="s">
        <v>1063</v>
      </c>
    </row>
    <row r="95" spans="1:5">
      <c r="A95" s="603"/>
      <c r="B95" s="601"/>
      <c r="C95" s="601" t="s">
        <v>2098</v>
      </c>
      <c r="D95" s="602" t="s">
        <v>2099</v>
      </c>
      <c r="E95" s="601" t="s">
        <v>1063</v>
      </c>
    </row>
    <row r="96" spans="1:5">
      <c r="A96" s="603">
        <v>45100</v>
      </c>
      <c r="B96" s="601" t="s">
        <v>1472</v>
      </c>
      <c r="C96" s="601" t="s">
        <v>990</v>
      </c>
      <c r="D96" s="602" t="s">
        <v>2140</v>
      </c>
      <c r="E96" s="601" t="s">
        <v>1254</v>
      </c>
    </row>
    <row r="97" spans="1:5">
      <c r="A97" s="603">
        <v>45112</v>
      </c>
      <c r="B97" s="601" t="s">
        <v>1472</v>
      </c>
      <c r="C97" s="601" t="s">
        <v>992</v>
      </c>
      <c r="D97" s="602" t="s">
        <v>2132</v>
      </c>
      <c r="E97" s="601" t="s">
        <v>1254</v>
      </c>
    </row>
    <row r="98" spans="1:5">
      <c r="A98" s="603"/>
      <c r="B98" s="601"/>
      <c r="C98" s="601"/>
      <c r="D98" s="602" t="s">
        <v>2133</v>
      </c>
      <c r="E98" s="601"/>
    </row>
    <row r="99" spans="1:5">
      <c r="A99" s="603"/>
      <c r="B99" s="601" t="s">
        <v>1459</v>
      </c>
      <c r="C99" s="601" t="s">
        <v>117</v>
      </c>
      <c r="D99" s="602" t="s">
        <v>2134</v>
      </c>
      <c r="E99" s="601" t="s">
        <v>1254</v>
      </c>
    </row>
    <row r="100" spans="1:5">
      <c r="A100" s="603"/>
      <c r="B100" s="601" t="s">
        <v>1488</v>
      </c>
      <c r="C100" s="601" t="s">
        <v>117</v>
      </c>
      <c r="D100" s="602" t="s">
        <v>2134</v>
      </c>
      <c r="E100" s="601" t="s">
        <v>1254</v>
      </c>
    </row>
    <row r="101" spans="1:5">
      <c r="A101" s="603"/>
      <c r="B101" s="601" t="s">
        <v>1492</v>
      </c>
      <c r="C101" s="601" t="s">
        <v>2138</v>
      </c>
      <c r="D101" s="602" t="s">
        <v>2139</v>
      </c>
      <c r="E101" s="601" t="s">
        <v>1254</v>
      </c>
    </row>
    <row r="102" spans="1:5">
      <c r="A102" s="603"/>
      <c r="B102" s="601" t="s">
        <v>1550</v>
      </c>
      <c r="C102" s="601" t="s">
        <v>2143</v>
      </c>
      <c r="D102" s="602" t="s">
        <v>2000</v>
      </c>
      <c r="E102" s="601" t="s">
        <v>1254</v>
      </c>
    </row>
    <row r="103" spans="1:5">
      <c r="A103" s="603">
        <v>45121</v>
      </c>
      <c r="B103" s="601" t="s">
        <v>2149</v>
      </c>
      <c r="C103" s="601"/>
      <c r="D103" s="602" t="s">
        <v>2150</v>
      </c>
      <c r="E103" s="601" t="s">
        <v>1254</v>
      </c>
    </row>
    <row r="104" spans="1:5">
      <c r="A104" s="603">
        <v>45182</v>
      </c>
      <c r="B104" s="601" t="s">
        <v>1492</v>
      </c>
      <c r="C104" s="601"/>
      <c r="D104" s="602" t="s">
        <v>2165</v>
      </c>
      <c r="E104" s="601" t="s">
        <v>1063</v>
      </c>
    </row>
    <row r="105" spans="1:5">
      <c r="A105" s="603"/>
      <c r="B105" s="601"/>
      <c r="C105" s="601" t="s">
        <v>2166</v>
      </c>
      <c r="D105" s="602" t="s">
        <v>2167</v>
      </c>
      <c r="E105" s="601" t="s">
        <v>1063</v>
      </c>
    </row>
    <row r="106" spans="1:5">
      <c r="A106" s="603"/>
      <c r="C106" s="601" t="s">
        <v>2168</v>
      </c>
      <c r="D106" s="602" t="s">
        <v>2169</v>
      </c>
      <c r="E106" s="601" t="s">
        <v>1063</v>
      </c>
    </row>
    <row r="107" spans="1:5">
      <c r="A107" s="603"/>
      <c r="C107" s="601" t="s">
        <v>2170</v>
      </c>
      <c r="D107" s="602" t="s">
        <v>2171</v>
      </c>
      <c r="E107" s="601" t="s">
        <v>1063</v>
      </c>
    </row>
    <row r="108" spans="1:5">
      <c r="A108" s="603"/>
      <c r="B108" s="601"/>
      <c r="C108" s="601" t="s">
        <v>2172</v>
      </c>
      <c r="D108" s="602" t="s">
        <v>2173</v>
      </c>
      <c r="E108" s="601" t="s">
        <v>1063</v>
      </c>
    </row>
    <row r="109" spans="1:5">
      <c r="A109" s="603"/>
      <c r="B109" s="601"/>
      <c r="C109" s="601" t="s">
        <v>2174</v>
      </c>
      <c r="D109" s="602" t="s">
        <v>2175</v>
      </c>
      <c r="E109" s="601" t="s">
        <v>1063</v>
      </c>
    </row>
    <row r="110" spans="1:5">
      <c r="A110" s="603"/>
      <c r="B110" s="601" t="s">
        <v>843</v>
      </c>
      <c r="C110" s="601" t="s">
        <v>2176</v>
      </c>
      <c r="D110" s="602" t="s">
        <v>2179</v>
      </c>
      <c r="E110" s="601" t="s">
        <v>1063</v>
      </c>
    </row>
    <row r="111" spans="1:5">
      <c r="A111" s="603"/>
      <c r="B111" s="601"/>
      <c r="C111" s="601" t="s">
        <v>2177</v>
      </c>
      <c r="D111" s="602" t="s">
        <v>2178</v>
      </c>
      <c r="E111" s="601" t="s">
        <v>1063</v>
      </c>
    </row>
    <row r="112" spans="1:5">
      <c r="A112" s="603"/>
      <c r="B112" s="601" t="s">
        <v>2180</v>
      </c>
      <c r="C112" s="601" t="s">
        <v>2181</v>
      </c>
      <c r="D112" s="602" t="s">
        <v>2182</v>
      </c>
      <c r="E112" s="601" t="s">
        <v>1063</v>
      </c>
    </row>
    <row r="113" spans="1:5">
      <c r="A113" s="603"/>
      <c r="B113" s="601" t="s">
        <v>1472</v>
      </c>
      <c r="C113" s="601" t="s">
        <v>990</v>
      </c>
      <c r="D113" s="602" t="s">
        <v>2183</v>
      </c>
      <c r="E113" s="601" t="s">
        <v>1063</v>
      </c>
    </row>
    <row r="114" spans="1:5">
      <c r="A114" s="603"/>
      <c r="B114" s="601"/>
      <c r="C114" s="601" t="s">
        <v>2184</v>
      </c>
      <c r="D114" s="602" t="s">
        <v>2185</v>
      </c>
      <c r="E114" s="601" t="s">
        <v>1063</v>
      </c>
    </row>
    <row r="115" spans="1:5">
      <c r="A115" s="603"/>
      <c r="B115" s="3646" t="s">
        <v>2186</v>
      </c>
      <c r="C115" s="3646"/>
      <c r="D115" s="602" t="s">
        <v>2187</v>
      </c>
      <c r="E115" s="3646" t="s">
        <v>1063</v>
      </c>
    </row>
    <row r="116" spans="1:5">
      <c r="A116" s="603">
        <v>45195</v>
      </c>
      <c r="B116" s="3646" t="s">
        <v>2186</v>
      </c>
      <c r="C116" s="601" t="s">
        <v>2261</v>
      </c>
      <c r="D116" s="602" t="s">
        <v>2262</v>
      </c>
      <c r="E116" s="601" t="s">
        <v>1063</v>
      </c>
    </row>
    <row r="117" spans="1:5">
      <c r="A117" s="603"/>
      <c r="B117" s="601"/>
      <c r="C117" s="601" t="s">
        <v>2263</v>
      </c>
      <c r="D117" s="602" t="s">
        <v>2262</v>
      </c>
      <c r="E117" s="601" t="s">
        <v>1063</v>
      </c>
    </row>
    <row r="118" spans="1:5">
      <c r="A118" s="603"/>
      <c r="B118" s="601" t="s">
        <v>1547</v>
      </c>
      <c r="C118" s="601" t="s">
        <v>2264</v>
      </c>
      <c r="D118" s="602" t="s">
        <v>2265</v>
      </c>
      <c r="E118" s="601" t="s">
        <v>1063</v>
      </c>
    </row>
    <row r="119" spans="1:5">
      <c r="A119" s="603"/>
      <c r="B119" s="601" t="s">
        <v>226</v>
      </c>
      <c r="C119" s="601" t="s">
        <v>2266</v>
      </c>
      <c r="D119" s="602" t="s">
        <v>2267</v>
      </c>
      <c r="E119" s="601" t="s">
        <v>1063</v>
      </c>
    </row>
    <row r="120" spans="1:5">
      <c r="A120" s="603">
        <v>45352</v>
      </c>
      <c r="B120" s="601" t="s">
        <v>843</v>
      </c>
      <c r="C120" s="601" t="s">
        <v>2277</v>
      </c>
      <c r="D120" s="602" t="s">
        <v>2278</v>
      </c>
      <c r="E120" s="601" t="s">
        <v>1063</v>
      </c>
    </row>
    <row r="121" spans="1:5">
      <c r="A121" s="603"/>
      <c r="B121" s="601"/>
      <c r="C121" s="601" t="s">
        <v>2279</v>
      </c>
      <c r="D121" s="602" t="s">
        <v>2280</v>
      </c>
      <c r="E121" s="601" t="s">
        <v>1063</v>
      </c>
    </row>
    <row r="122" spans="1:5">
      <c r="A122" s="603"/>
      <c r="B122" s="601"/>
      <c r="C122" s="601" t="s">
        <v>2284</v>
      </c>
      <c r="D122" s="602" t="s">
        <v>2285</v>
      </c>
      <c r="E122" s="601" t="s">
        <v>1063</v>
      </c>
    </row>
    <row r="123" spans="1:5">
      <c r="A123" s="603"/>
      <c r="B123" s="601" t="s">
        <v>1470</v>
      </c>
      <c r="C123" s="3646" t="s">
        <v>2288</v>
      </c>
      <c r="D123" s="602" t="s">
        <v>2281</v>
      </c>
      <c r="E123" s="601" t="s">
        <v>1063</v>
      </c>
    </row>
    <row r="124" spans="1:5">
      <c r="A124" s="603"/>
      <c r="B124" s="3646" t="s">
        <v>1492</v>
      </c>
      <c r="C124" s="601" t="s">
        <v>2283</v>
      </c>
      <c r="D124" s="602" t="s">
        <v>2278</v>
      </c>
      <c r="E124" s="601" t="s">
        <v>1063</v>
      </c>
    </row>
    <row r="125" spans="1:5">
      <c r="A125" s="603"/>
      <c r="B125" s="601"/>
      <c r="C125" s="601" t="s">
        <v>2282</v>
      </c>
      <c r="D125" s="602" t="s">
        <v>2286</v>
      </c>
      <c r="E125" s="601" t="s">
        <v>1063</v>
      </c>
    </row>
    <row r="126" spans="1:5">
      <c r="A126" s="603"/>
      <c r="B126" s="601" t="s">
        <v>2289</v>
      </c>
      <c r="C126" s="601"/>
      <c r="D126" s="602" t="s">
        <v>2091</v>
      </c>
      <c r="E126" s="601" t="s">
        <v>1063</v>
      </c>
    </row>
    <row r="127" spans="1:5">
      <c r="A127" s="603"/>
      <c r="B127" s="601" t="s">
        <v>2301</v>
      </c>
      <c r="D127" s="601" t="s">
        <v>2091</v>
      </c>
      <c r="E127" s="601" t="s">
        <v>1063</v>
      </c>
    </row>
    <row r="128" spans="1:5">
      <c r="A128" s="603">
        <v>45356</v>
      </c>
      <c r="B128" s="601" t="s">
        <v>1470</v>
      </c>
      <c r="C128" s="601" t="s">
        <v>2303</v>
      </c>
      <c r="D128" s="601" t="s">
        <v>2304</v>
      </c>
      <c r="E128" s="601" t="s">
        <v>1254</v>
      </c>
    </row>
    <row r="129" spans="1:5">
      <c r="A129" s="603"/>
      <c r="B129" s="601" t="s">
        <v>1492</v>
      </c>
      <c r="C129" s="601" t="s">
        <v>2174</v>
      </c>
      <c r="D129" s="601" t="s">
        <v>2305</v>
      </c>
      <c r="E129" s="601" t="s">
        <v>1254</v>
      </c>
    </row>
    <row r="130" spans="1:5">
      <c r="A130" s="603">
        <v>45359</v>
      </c>
      <c r="B130" s="601" t="s">
        <v>1459</v>
      </c>
      <c r="C130" s="601" t="s">
        <v>2312</v>
      </c>
      <c r="D130" s="601" t="s">
        <v>2313</v>
      </c>
      <c r="E130" s="601" t="s">
        <v>1063</v>
      </c>
    </row>
    <row r="131" spans="1:5">
      <c r="A131" s="603">
        <v>45433</v>
      </c>
      <c r="B131" s="601" t="s">
        <v>2180</v>
      </c>
      <c r="C131" s="601" t="s">
        <v>2314</v>
      </c>
      <c r="D131" s="601" t="s">
        <v>2315</v>
      </c>
      <c r="E131" s="601" t="s">
        <v>1063</v>
      </c>
    </row>
    <row r="132" spans="1:5" s="4010" customFormat="1">
      <c r="A132" s="4009">
        <v>45540</v>
      </c>
      <c r="B132" s="3646" t="s">
        <v>2332</v>
      </c>
      <c r="C132" s="3646"/>
      <c r="D132" s="3646" t="s">
        <v>2333</v>
      </c>
      <c r="E132" s="3646" t="s">
        <v>1063</v>
      </c>
    </row>
    <row r="133" spans="1:5" s="4010" customFormat="1">
      <c r="A133" s="4009"/>
      <c r="B133" s="4010" t="s">
        <v>1459</v>
      </c>
      <c r="C133" s="3646"/>
      <c r="D133" s="3646" t="s">
        <v>2334</v>
      </c>
      <c r="E133" s="3646" t="s">
        <v>1063</v>
      </c>
    </row>
    <row r="134" spans="1:5" s="4012" customFormat="1">
      <c r="A134" s="4011"/>
      <c r="B134" s="4012" t="s">
        <v>2180</v>
      </c>
      <c r="C134" s="4012" t="s">
        <v>2338</v>
      </c>
      <c r="D134" s="4012" t="s">
        <v>2339</v>
      </c>
      <c r="E134" s="4012" t="s">
        <v>1063</v>
      </c>
    </row>
    <row r="135" spans="1:5" s="4010" customFormat="1">
      <c r="B135" s="3646" t="s">
        <v>2340</v>
      </c>
      <c r="C135" s="3646"/>
      <c r="D135" s="3646" t="s">
        <v>2091</v>
      </c>
      <c r="E135" s="3646" t="s">
        <v>1063</v>
      </c>
    </row>
    <row r="136" spans="1:5" s="4010" customFormat="1">
      <c r="A136" s="4009">
        <v>45546</v>
      </c>
      <c r="B136" s="3646" t="s">
        <v>1547</v>
      </c>
      <c r="C136" s="3646" t="s">
        <v>2351</v>
      </c>
      <c r="D136" s="3646" t="s">
        <v>2352</v>
      </c>
      <c r="E136" s="3646" t="s">
        <v>1063</v>
      </c>
    </row>
    <row r="137" spans="1:5" s="4010" customFormat="1">
      <c r="A137" s="4009"/>
      <c r="B137" s="3646" t="s">
        <v>2349</v>
      </c>
      <c r="C137" s="3646"/>
      <c r="D137" s="3646" t="s">
        <v>2091</v>
      </c>
      <c r="E137" s="3646" t="s">
        <v>1063</v>
      </c>
    </row>
    <row r="138" spans="1:5" s="4010" customFormat="1">
      <c r="A138" s="4009"/>
      <c r="B138" s="3646" t="s">
        <v>2350</v>
      </c>
      <c r="D138" s="3646" t="s">
        <v>2091</v>
      </c>
      <c r="E138" s="3646" t="s">
        <v>1063</v>
      </c>
    </row>
    <row r="139" spans="1:5" s="4010" customFormat="1">
      <c r="A139" s="4009"/>
      <c r="B139" s="3646" t="s">
        <v>226</v>
      </c>
      <c r="C139" s="3646" t="s">
        <v>2354</v>
      </c>
      <c r="D139" s="3646" t="s">
        <v>2355</v>
      </c>
      <c r="E139" s="3646" t="s">
        <v>1063</v>
      </c>
    </row>
    <row r="140" spans="1:5" s="4010" customFormat="1">
      <c r="A140" s="4009"/>
      <c r="B140" s="3646" t="s">
        <v>843</v>
      </c>
      <c r="C140" s="3646" t="s">
        <v>2387</v>
      </c>
      <c r="D140" s="3646" t="s">
        <v>2388</v>
      </c>
      <c r="E140" s="3646" t="s">
        <v>1063</v>
      </c>
    </row>
    <row r="141" spans="1:5" s="4010" customFormat="1">
      <c r="A141" s="4009"/>
      <c r="B141" s="3646"/>
      <c r="C141" s="3646" t="s">
        <v>2393</v>
      </c>
      <c r="D141" s="3646" t="s">
        <v>2394</v>
      </c>
      <c r="E141" s="3646" t="s">
        <v>1063</v>
      </c>
    </row>
    <row r="142" spans="1:5" s="4010" customFormat="1">
      <c r="A142" s="4009"/>
      <c r="C142" s="3646" t="s">
        <v>2389</v>
      </c>
      <c r="D142" s="3646" t="s">
        <v>2390</v>
      </c>
      <c r="E142" s="3646" t="s">
        <v>1063</v>
      </c>
    </row>
    <row r="143" spans="1:5" s="4010" customFormat="1">
      <c r="A143" s="4009"/>
      <c r="C143" s="3646" t="s">
        <v>2401</v>
      </c>
      <c r="D143" s="3646" t="s">
        <v>2395</v>
      </c>
      <c r="E143" s="3646" t="s">
        <v>1063</v>
      </c>
    </row>
    <row r="144" spans="1:5" s="4010" customFormat="1">
      <c r="A144" s="4009"/>
      <c r="C144" s="3646" t="s">
        <v>2391</v>
      </c>
      <c r="D144" s="3646" t="s">
        <v>2392</v>
      </c>
      <c r="E144" s="3646" t="s">
        <v>1063</v>
      </c>
    </row>
    <row r="145" spans="1:5" s="4010" customFormat="1">
      <c r="A145" s="4009"/>
      <c r="C145" s="3646" t="s">
        <v>2398</v>
      </c>
      <c r="D145" s="3646" t="s">
        <v>2395</v>
      </c>
      <c r="E145" s="3646" t="s">
        <v>1063</v>
      </c>
    </row>
    <row r="146" spans="1:5" s="4010" customFormat="1">
      <c r="A146" s="4009"/>
      <c r="C146" s="4010" t="s">
        <v>2399</v>
      </c>
      <c r="D146" s="4010" t="s">
        <v>2400</v>
      </c>
      <c r="E146" s="3646" t="s">
        <v>1063</v>
      </c>
    </row>
    <row r="147" spans="1:5" s="4010" customFormat="1">
      <c r="A147" s="4009"/>
      <c r="B147" s="4010" t="s">
        <v>1470</v>
      </c>
      <c r="C147" s="4010" t="s">
        <v>2404</v>
      </c>
      <c r="D147" s="4010" t="s">
        <v>2405</v>
      </c>
      <c r="E147" s="3646" t="s">
        <v>1063</v>
      </c>
    </row>
    <row r="148" spans="1:5" s="4010" customFormat="1">
      <c r="A148" s="4009"/>
      <c r="C148" s="3646" t="s">
        <v>2407</v>
      </c>
      <c r="D148" s="3646" t="s">
        <v>2408</v>
      </c>
      <c r="E148" s="3646" t="s">
        <v>1063</v>
      </c>
    </row>
    <row r="149" spans="1:5" s="4010" customFormat="1">
      <c r="A149" s="4009"/>
      <c r="B149" s="3646" t="s">
        <v>1472</v>
      </c>
      <c r="C149" s="3646" t="s">
        <v>2402</v>
      </c>
      <c r="D149" s="3646" t="s">
        <v>2403</v>
      </c>
      <c r="E149" s="3646" t="s">
        <v>1063</v>
      </c>
    </row>
    <row r="150" spans="1:5" s="4010" customFormat="1">
      <c r="A150" s="4009">
        <v>45558</v>
      </c>
      <c r="B150" s="3646" t="s">
        <v>1472</v>
      </c>
      <c r="C150" s="3646" t="s">
        <v>2418</v>
      </c>
      <c r="D150" s="3646" t="s">
        <v>2419</v>
      </c>
      <c r="E150" s="3646" t="s">
        <v>1063</v>
      </c>
    </row>
    <row r="151" spans="1:5" s="4010" customFormat="1">
      <c r="A151" s="4009">
        <v>45574</v>
      </c>
      <c r="B151" s="3646" t="s">
        <v>1472</v>
      </c>
      <c r="C151" s="3646" t="s">
        <v>2421</v>
      </c>
      <c r="D151" s="3646" t="s">
        <v>2422</v>
      </c>
      <c r="E151" s="3646" t="s">
        <v>1063</v>
      </c>
    </row>
    <row r="152" spans="1:5" s="4010" customFormat="1">
      <c r="A152" s="4009">
        <v>45603</v>
      </c>
      <c r="B152" s="3646" t="s">
        <v>1547</v>
      </c>
      <c r="C152" s="3646" t="s">
        <v>2425</v>
      </c>
      <c r="D152" s="4013" t="s">
        <v>2426</v>
      </c>
      <c r="E152" s="3646" t="s">
        <v>2427</v>
      </c>
    </row>
    <row r="153" spans="1:5" s="4010" customFormat="1">
      <c r="A153" s="4009"/>
      <c r="B153" s="3646"/>
      <c r="C153" s="3646" t="s">
        <v>2428</v>
      </c>
      <c r="D153" s="4013" t="s">
        <v>2429</v>
      </c>
      <c r="E153" s="3646" t="s">
        <v>2427</v>
      </c>
    </row>
    <row r="154" spans="1:5" s="4010" customFormat="1">
      <c r="A154" s="4009"/>
      <c r="B154" s="3646" t="s">
        <v>766</v>
      </c>
      <c r="C154" s="3396" t="s">
        <v>2430</v>
      </c>
      <c r="D154" s="3646" t="s">
        <v>2426</v>
      </c>
      <c r="E154" s="3646" t="s">
        <v>2427</v>
      </c>
    </row>
    <row r="155" spans="1:5" s="4010" customFormat="1">
      <c r="A155" s="4009"/>
      <c r="B155" s="3646" t="s">
        <v>226</v>
      </c>
      <c r="C155" s="4013" t="s">
        <v>2431</v>
      </c>
      <c r="D155" s="3646" t="s">
        <v>2432</v>
      </c>
      <c r="E155" s="3646" t="s">
        <v>2427</v>
      </c>
    </row>
    <row r="156" spans="1:5" s="4010" customFormat="1">
      <c r="A156" s="4009"/>
      <c r="B156" s="3646"/>
      <c r="C156" s="3646" t="s">
        <v>2433</v>
      </c>
      <c r="D156" s="3646" t="s">
        <v>2434</v>
      </c>
      <c r="E156" s="3646" t="s">
        <v>2427</v>
      </c>
    </row>
    <row r="157" spans="1:5" s="4010" customFormat="1">
      <c r="A157" s="4009"/>
      <c r="B157" s="3646" t="s">
        <v>843</v>
      </c>
      <c r="C157" s="3646" t="s">
        <v>2436</v>
      </c>
      <c r="D157" s="3980" t="s">
        <v>2435</v>
      </c>
      <c r="E157" s="3646" t="s">
        <v>2427</v>
      </c>
    </row>
    <row r="158" spans="1:5" s="4010" customFormat="1">
      <c r="A158" s="4009"/>
      <c r="B158" s="3646"/>
      <c r="C158" s="3646" t="s">
        <v>2438</v>
      </c>
      <c r="D158" s="3646" t="s">
        <v>2439</v>
      </c>
      <c r="E158" s="3646" t="s">
        <v>1063</v>
      </c>
    </row>
    <row r="159" spans="1:5" s="4010" customFormat="1">
      <c r="A159" s="4009"/>
      <c r="B159" s="3646"/>
      <c r="C159" s="3646" t="s">
        <v>2440</v>
      </c>
      <c r="D159" s="3646" t="s">
        <v>2441</v>
      </c>
      <c r="E159" s="3646" t="s">
        <v>1063</v>
      </c>
    </row>
    <row r="160" spans="1:5" s="4010" customFormat="1">
      <c r="A160" s="4009">
        <v>45617</v>
      </c>
      <c r="B160" s="3646" t="s">
        <v>2442</v>
      </c>
      <c r="C160" s="3646" t="s">
        <v>2444</v>
      </c>
      <c r="D160" s="3646" t="s">
        <v>2446</v>
      </c>
      <c r="E160" s="3646" t="s">
        <v>1063</v>
      </c>
    </row>
    <row r="161" spans="1:5" s="4010" customFormat="1">
      <c r="A161" s="4009"/>
      <c r="B161" s="3646" t="s">
        <v>226</v>
      </c>
      <c r="C161" s="3646" t="s">
        <v>2445</v>
      </c>
      <c r="D161" s="3646" t="s">
        <v>2446</v>
      </c>
      <c r="E161" s="3646" t="s">
        <v>1063</v>
      </c>
    </row>
    <row r="162" spans="1:5" s="4010" customFormat="1">
      <c r="A162" s="4009"/>
      <c r="B162" s="3646" t="s">
        <v>843</v>
      </c>
      <c r="C162" s="3646" t="s">
        <v>2447</v>
      </c>
      <c r="D162" s="3646" t="s">
        <v>2448</v>
      </c>
      <c r="E162" s="3646" t="s">
        <v>1063</v>
      </c>
    </row>
    <row r="163" spans="1:5" s="4010" customFormat="1">
      <c r="A163" s="4009">
        <v>45621</v>
      </c>
      <c r="B163" s="3646" t="s">
        <v>2350</v>
      </c>
      <c r="C163" s="4010" t="s">
        <v>2449</v>
      </c>
      <c r="D163" s="3646" t="s">
        <v>2450</v>
      </c>
      <c r="E163" s="3646" t="s">
        <v>1063</v>
      </c>
    </row>
    <row r="164" spans="1:5" s="4010" customFormat="1">
      <c r="A164" s="4009"/>
      <c r="B164" s="3646" t="s">
        <v>843</v>
      </c>
      <c r="C164" s="4010" t="s">
        <v>2451</v>
      </c>
      <c r="D164" s="3646" t="s">
        <v>2452</v>
      </c>
      <c r="E164" s="3646" t="s">
        <v>1063</v>
      </c>
    </row>
    <row r="165" spans="1:5" s="4010" customFormat="1" ht="12.6" customHeight="1">
      <c r="A165" s="4009">
        <v>45638</v>
      </c>
      <c r="B165" s="3646" t="s">
        <v>226</v>
      </c>
      <c r="C165" s="3646" t="s">
        <v>2453</v>
      </c>
      <c r="D165" s="3646" t="s">
        <v>2454</v>
      </c>
      <c r="E165" s="3646" t="s">
        <v>1063</v>
      </c>
    </row>
    <row r="166" spans="1:5" s="4010" customFormat="1">
      <c r="A166" s="4009">
        <v>45639</v>
      </c>
      <c r="B166" s="4010" t="s">
        <v>2349</v>
      </c>
      <c r="C166" s="3646" t="s">
        <v>2455</v>
      </c>
      <c r="D166" s="3646" t="s">
        <v>2456</v>
      </c>
      <c r="E166" s="3646" t="s">
        <v>1063</v>
      </c>
    </row>
    <row r="167" spans="1:5" s="3397" customFormat="1">
      <c r="A167" s="4134"/>
      <c r="B167" s="3646" t="s">
        <v>1472</v>
      </c>
      <c r="C167" s="3646" t="s">
        <v>2457</v>
      </c>
      <c r="D167" s="3646" t="s">
        <v>2458</v>
      </c>
      <c r="E167" s="3646" t="s">
        <v>1063</v>
      </c>
    </row>
    <row r="168" spans="1:5" s="4010" customFormat="1">
      <c r="A168" s="4134"/>
      <c r="B168" s="3646"/>
      <c r="C168" s="3646" t="s">
        <v>2459</v>
      </c>
      <c r="D168" s="3646" t="s">
        <v>2460</v>
      </c>
      <c r="E168" s="3646" t="s">
        <v>1063</v>
      </c>
    </row>
    <row r="169" spans="1:5" s="4010" customFormat="1">
      <c r="A169" s="4134"/>
      <c r="B169" s="3646" t="s">
        <v>843</v>
      </c>
      <c r="C169" s="3646" t="s">
        <v>2461</v>
      </c>
      <c r="D169" s="3646" t="s">
        <v>2462</v>
      </c>
      <c r="E169" s="3646" t="s">
        <v>1063</v>
      </c>
    </row>
    <row r="170" spans="1:5">
      <c r="A170" s="603" t="s">
        <v>2479</v>
      </c>
      <c r="B170" s="601"/>
      <c r="C170" s="601"/>
      <c r="D170" s="601"/>
      <c r="E170" s="601"/>
    </row>
    <row r="171" spans="1:5">
      <c r="A171" s="603">
        <v>45723</v>
      </c>
      <c r="B171" s="601" t="s">
        <v>2480</v>
      </c>
      <c r="C171" s="601" t="s">
        <v>2481</v>
      </c>
      <c r="D171" s="601" t="s">
        <v>2482</v>
      </c>
      <c r="E171" s="601" t="s">
        <v>1063</v>
      </c>
    </row>
    <row r="172" spans="1:5">
      <c r="A172" s="603"/>
      <c r="B172" s="601"/>
      <c r="C172" s="601" t="s">
        <v>2483</v>
      </c>
      <c r="D172" s="601" t="s">
        <v>2484</v>
      </c>
      <c r="E172" s="601" t="s">
        <v>1063</v>
      </c>
    </row>
    <row r="173" spans="1:5">
      <c r="A173" s="603"/>
      <c r="B173" s="601"/>
      <c r="C173" s="601" t="s">
        <v>2485</v>
      </c>
      <c r="D173" s="601" t="s">
        <v>2486</v>
      </c>
      <c r="E173" s="601" t="s">
        <v>1063</v>
      </c>
    </row>
    <row r="174" spans="1:5">
      <c r="A174" s="603"/>
      <c r="B174" s="601" t="s">
        <v>843</v>
      </c>
      <c r="C174" s="601" t="s">
        <v>2487</v>
      </c>
      <c r="D174" s="601" t="s">
        <v>2488</v>
      </c>
      <c r="E174" s="601" t="s">
        <v>1063</v>
      </c>
    </row>
    <row r="175" spans="1:5">
      <c r="A175" s="603">
        <v>45750</v>
      </c>
      <c r="B175" s="601" t="s">
        <v>2492</v>
      </c>
      <c r="C175" s="601" t="s">
        <v>2493</v>
      </c>
      <c r="D175" s="601" t="s">
        <v>2497</v>
      </c>
      <c r="E175" s="601" t="s">
        <v>2494</v>
      </c>
    </row>
    <row r="176" spans="1:5">
      <c r="A176" s="603"/>
      <c r="B176" s="601" t="s">
        <v>2480</v>
      </c>
      <c r="C176" s="601" t="s">
        <v>2495</v>
      </c>
      <c r="D176" s="601" t="s">
        <v>2498</v>
      </c>
      <c r="E176" s="601" t="s">
        <v>2494</v>
      </c>
    </row>
    <row r="177" spans="1:5">
      <c r="A177" s="603"/>
      <c r="B177" s="601" t="s">
        <v>2350</v>
      </c>
      <c r="C177" s="601" t="s">
        <v>2496</v>
      </c>
      <c r="D177" s="601" t="s">
        <v>2499</v>
      </c>
      <c r="E177" s="601" t="s">
        <v>2494</v>
      </c>
    </row>
    <row r="178" spans="1:5">
      <c r="A178" s="603"/>
      <c r="C178" s="601"/>
      <c r="D178" s="601"/>
      <c r="E178" s="601"/>
    </row>
    <row r="179" spans="1:5">
      <c r="A179" s="603"/>
      <c r="C179" s="601"/>
      <c r="D179" s="601"/>
      <c r="E179" s="601"/>
    </row>
    <row r="180" spans="1:5">
      <c r="A180" s="603"/>
      <c r="B180" s="601"/>
      <c r="C180" s="601"/>
      <c r="D180" s="601"/>
      <c r="E180" s="601"/>
    </row>
    <row r="181" spans="1:5">
      <c r="A181" s="603"/>
      <c r="B181" s="601"/>
      <c r="C181" s="601"/>
      <c r="D181" s="601"/>
      <c r="E181" s="601"/>
    </row>
    <row r="182" spans="1:5">
      <c r="A182" s="603"/>
      <c r="C182" s="601"/>
      <c r="D182" s="601"/>
      <c r="E182" s="601"/>
    </row>
    <row r="183" spans="1:5">
      <c r="A183" s="603"/>
      <c r="C183" s="601"/>
      <c r="D183" s="601"/>
      <c r="E183" s="601"/>
    </row>
    <row r="184" spans="1:5">
      <c r="A184" s="603"/>
      <c r="C184" s="601"/>
      <c r="E184" s="601"/>
    </row>
    <row r="185" spans="1:5">
      <c r="A185" s="603"/>
      <c r="B185" s="601"/>
      <c r="C185" s="601"/>
      <c r="D185" s="601"/>
      <c r="E185" s="601"/>
    </row>
    <row r="186" spans="1:5">
      <c r="A186" s="603"/>
      <c r="B186" s="601"/>
      <c r="C186" s="601"/>
      <c r="D186" s="601"/>
      <c r="E186" s="601"/>
    </row>
    <row r="187" spans="1:5">
      <c r="A187" s="603"/>
      <c r="C187" s="601"/>
      <c r="D187" s="601"/>
      <c r="E187" s="601"/>
    </row>
    <row r="188" spans="1:5">
      <c r="A188" s="603"/>
      <c r="C188" s="601"/>
      <c r="D188" s="601"/>
      <c r="E188" s="601"/>
    </row>
    <row r="189" spans="1:5">
      <c r="A189" s="603"/>
      <c r="C189" s="601"/>
      <c r="D189" s="601"/>
      <c r="E189" s="601"/>
    </row>
    <row r="190" spans="1:5">
      <c r="A190" s="603"/>
      <c r="C190" s="601"/>
      <c r="D190" s="601"/>
      <c r="E190" s="601"/>
    </row>
    <row r="191" spans="1:5">
      <c r="A191" s="603"/>
    </row>
    <row r="192" spans="1:5">
      <c r="A192" s="603"/>
    </row>
    <row r="193" spans="1:1">
      <c r="A193" s="603"/>
    </row>
    <row r="194" spans="1:1">
      <c r="A194" s="603"/>
    </row>
    <row r="195" spans="1:1">
      <c r="A195" s="603"/>
    </row>
    <row r="196" spans="1:1">
      <c r="A196" s="603"/>
    </row>
    <row r="197" spans="1:1">
      <c r="A197" s="603"/>
    </row>
    <row r="198" spans="1:1">
      <c r="A198" s="603"/>
    </row>
    <row r="199" spans="1:1">
      <c r="A199" s="603"/>
    </row>
    <row r="200" spans="1:1">
      <c r="A200" s="603"/>
    </row>
    <row r="201" spans="1:1">
      <c r="A201" s="603"/>
    </row>
    <row r="202" spans="1:1">
      <c r="A202" s="603"/>
    </row>
    <row r="203" spans="1:1">
      <c r="A203" s="603"/>
    </row>
    <row r="204" spans="1:1">
      <c r="A204" s="603"/>
    </row>
    <row r="205" spans="1:1">
      <c r="A205" s="603"/>
    </row>
    <row r="206" spans="1:1">
      <c r="A206" s="603"/>
    </row>
    <row r="207" spans="1:1">
      <c r="A207" s="603"/>
    </row>
    <row r="208" spans="1:1">
      <c r="A208" s="603"/>
    </row>
    <row r="209" spans="1:1">
      <c r="A209" s="603"/>
    </row>
    <row r="210" spans="1:1">
      <c r="A210" s="603"/>
    </row>
    <row r="211" spans="1:1">
      <c r="A211" s="603"/>
    </row>
    <row r="212" spans="1:1">
      <c r="A212" s="603"/>
    </row>
    <row r="213" spans="1:1">
      <c r="A213" s="603"/>
    </row>
    <row r="214" spans="1:1">
      <c r="A214" s="603"/>
    </row>
    <row r="215" spans="1:1">
      <c r="A215" s="603"/>
    </row>
    <row r="216" spans="1:1">
      <c r="A216" s="603"/>
    </row>
    <row r="217" spans="1:1">
      <c r="A217" s="603"/>
    </row>
    <row r="218" spans="1:1">
      <c r="A218" s="603"/>
    </row>
    <row r="219" spans="1:1">
      <c r="A219" s="603"/>
    </row>
    <row r="220" spans="1:1">
      <c r="A220" s="603"/>
    </row>
    <row r="221" spans="1:1">
      <c r="A221" s="603"/>
    </row>
    <row r="222" spans="1:1">
      <c r="A222" s="603"/>
    </row>
    <row r="223" spans="1:1">
      <c r="A223" s="603"/>
    </row>
    <row r="224" spans="1:1">
      <c r="A224" s="603"/>
    </row>
    <row r="225" spans="1:1">
      <c r="A225" s="603"/>
    </row>
    <row r="226" spans="1:1">
      <c r="A226" s="603"/>
    </row>
    <row r="227" spans="1:1">
      <c r="A227" s="603"/>
    </row>
    <row r="228" spans="1:1">
      <c r="A228" s="603"/>
    </row>
    <row r="229" spans="1:1">
      <c r="A229" s="603"/>
    </row>
    <row r="230" spans="1:1">
      <c r="A230" s="603"/>
    </row>
    <row r="231" spans="1:1">
      <c r="A231" s="603"/>
    </row>
    <row r="232" spans="1:1">
      <c r="A232" s="603"/>
    </row>
    <row r="233" spans="1:1">
      <c r="A233" s="603"/>
    </row>
    <row r="234" spans="1:1">
      <c r="A234" s="603"/>
    </row>
    <row r="235" spans="1:1">
      <c r="A235" s="603"/>
    </row>
    <row r="236" spans="1:1">
      <c r="A236" s="603"/>
    </row>
    <row r="237" spans="1:1">
      <c r="A237" s="603"/>
    </row>
    <row r="238" spans="1:1">
      <c r="A238" s="603"/>
    </row>
    <row r="239" spans="1:1">
      <c r="A239" s="603"/>
    </row>
    <row r="240" spans="1:1">
      <c r="A240" s="603"/>
    </row>
    <row r="241" spans="1:1">
      <c r="A241" s="603"/>
    </row>
    <row r="242" spans="1:1">
      <c r="A242" s="603"/>
    </row>
    <row r="243" spans="1:1">
      <c r="A243" s="603"/>
    </row>
    <row r="244" spans="1:1">
      <c r="A244" s="603"/>
    </row>
    <row r="245" spans="1:1">
      <c r="A245" s="603"/>
    </row>
    <row r="246" spans="1:1">
      <c r="A246" s="603"/>
    </row>
    <row r="247" spans="1:1">
      <c r="A247" s="603"/>
    </row>
    <row r="248" spans="1:1">
      <c r="A248" s="603"/>
    </row>
    <row r="249" spans="1:1">
      <c r="A249" s="603"/>
    </row>
    <row r="250" spans="1:1">
      <c r="A250" s="603"/>
    </row>
    <row r="251" spans="1:1">
      <c r="A251" s="603"/>
    </row>
    <row r="252" spans="1:1">
      <c r="A252" s="603"/>
    </row>
    <row r="253" spans="1:1">
      <c r="A253" s="603"/>
    </row>
    <row r="254" spans="1:1">
      <c r="A254" s="603"/>
    </row>
    <row r="255" spans="1:1">
      <c r="A255" s="603"/>
    </row>
    <row r="256" spans="1:1">
      <c r="A256" s="603"/>
    </row>
    <row r="257" spans="1:1">
      <c r="A257" s="603"/>
    </row>
    <row r="258" spans="1:1">
      <c r="A258" s="603"/>
    </row>
    <row r="259" spans="1:1">
      <c r="A259" s="603"/>
    </row>
    <row r="260" spans="1:1">
      <c r="A260" s="603"/>
    </row>
    <row r="261" spans="1:1">
      <c r="A261" s="603"/>
    </row>
    <row r="262" spans="1:1">
      <c r="A262" s="603"/>
    </row>
    <row r="263" spans="1:1">
      <c r="A263" s="603"/>
    </row>
    <row r="264" spans="1:1">
      <c r="A264" s="603"/>
    </row>
    <row r="265" spans="1:1">
      <c r="A265" s="603"/>
    </row>
    <row r="266" spans="1:1">
      <c r="A266" s="603"/>
    </row>
    <row r="267" spans="1:1">
      <c r="A267" s="603"/>
    </row>
    <row r="268" spans="1:1">
      <c r="A268" s="603"/>
    </row>
    <row r="269" spans="1:1">
      <c r="A269" s="603"/>
    </row>
    <row r="270" spans="1:1">
      <c r="A270" s="603"/>
    </row>
    <row r="271" spans="1:1">
      <c r="A271" s="603"/>
    </row>
    <row r="272" spans="1:1">
      <c r="A272" s="603"/>
    </row>
    <row r="273" spans="1:1">
      <c r="A273" s="603"/>
    </row>
    <row r="274" spans="1:1">
      <c r="A274" s="603"/>
    </row>
    <row r="275" spans="1:1">
      <c r="A275" s="603"/>
    </row>
    <row r="276" spans="1:1">
      <c r="A276" s="603"/>
    </row>
    <row r="277" spans="1:1">
      <c r="A277" s="603"/>
    </row>
    <row r="278" spans="1:1">
      <c r="A278" s="603"/>
    </row>
    <row r="279" spans="1:1">
      <c r="A279" s="603"/>
    </row>
    <row r="280" spans="1:1">
      <c r="A280" s="603"/>
    </row>
    <row r="281" spans="1:1">
      <c r="A281" s="603"/>
    </row>
    <row r="282" spans="1:1">
      <c r="A282" s="603"/>
    </row>
    <row r="283" spans="1:1">
      <c r="A283" s="603"/>
    </row>
    <row r="284" spans="1:1">
      <c r="A284" s="603"/>
    </row>
    <row r="285" spans="1:1">
      <c r="A285" s="603"/>
    </row>
    <row r="286" spans="1:1">
      <c r="A286" s="603"/>
    </row>
    <row r="287" spans="1:1">
      <c r="A287" s="603"/>
    </row>
    <row r="288" spans="1:1">
      <c r="A288" s="603"/>
    </row>
    <row r="289" spans="1:1">
      <c r="A289" s="603"/>
    </row>
    <row r="290" spans="1:1">
      <c r="A290" s="603"/>
    </row>
    <row r="291" spans="1:1">
      <c r="A291" s="603"/>
    </row>
    <row r="292" spans="1:1">
      <c r="A292" s="603"/>
    </row>
    <row r="293" spans="1:1">
      <c r="A293" s="603"/>
    </row>
    <row r="294" spans="1:1">
      <c r="A294" s="603"/>
    </row>
    <row r="295" spans="1:1">
      <c r="A295" s="603"/>
    </row>
    <row r="296" spans="1:1">
      <c r="A296" s="603"/>
    </row>
    <row r="297" spans="1:1">
      <c r="A297" s="603"/>
    </row>
    <row r="298" spans="1:1">
      <c r="A298" s="603"/>
    </row>
    <row r="299" spans="1:1">
      <c r="A299" s="603"/>
    </row>
    <row r="300" spans="1:1">
      <c r="A300" s="603"/>
    </row>
    <row r="301" spans="1:1">
      <c r="A301" s="603"/>
    </row>
    <row r="302" spans="1:1">
      <c r="A302" s="603"/>
    </row>
    <row r="303" spans="1:1">
      <c r="A303" s="603"/>
    </row>
    <row r="304" spans="1:1">
      <c r="A304" s="603"/>
    </row>
    <row r="305" spans="1:1">
      <c r="A305" s="603"/>
    </row>
    <row r="306" spans="1:1">
      <c r="A306" s="603"/>
    </row>
    <row r="307" spans="1:1">
      <c r="A307" s="603"/>
    </row>
    <row r="308" spans="1:1">
      <c r="A308" s="603"/>
    </row>
    <row r="309" spans="1:1">
      <c r="A309" s="603"/>
    </row>
    <row r="310" spans="1:1">
      <c r="A310" s="603"/>
    </row>
    <row r="311" spans="1:1">
      <c r="A311" s="603"/>
    </row>
    <row r="312" spans="1:1">
      <c r="A312" s="603"/>
    </row>
    <row r="313" spans="1:1">
      <c r="A313" s="603"/>
    </row>
    <row r="314" spans="1:1">
      <c r="A314" s="603"/>
    </row>
    <row r="315" spans="1:1">
      <c r="A315" s="603"/>
    </row>
    <row r="316" spans="1:1">
      <c r="A316" s="603"/>
    </row>
    <row r="317" spans="1:1">
      <c r="A317" s="603"/>
    </row>
    <row r="318" spans="1:1">
      <c r="A318" s="603"/>
    </row>
    <row r="319" spans="1:1">
      <c r="A319" s="603"/>
    </row>
    <row r="320" spans="1:1">
      <c r="A320" s="603"/>
    </row>
    <row r="321" spans="1:1">
      <c r="A321" s="603"/>
    </row>
    <row r="322" spans="1:1">
      <c r="A322" s="603"/>
    </row>
    <row r="323" spans="1:1">
      <c r="A323" s="603"/>
    </row>
    <row r="324" spans="1:1">
      <c r="A324" s="603"/>
    </row>
    <row r="325" spans="1:1">
      <c r="A325" s="603"/>
    </row>
    <row r="326" spans="1:1">
      <c r="A326" s="603"/>
    </row>
    <row r="327" spans="1:1">
      <c r="A327" s="603"/>
    </row>
    <row r="328" spans="1:1">
      <c r="A328" s="603"/>
    </row>
    <row r="329" spans="1:1">
      <c r="A329" s="603"/>
    </row>
    <row r="330" spans="1:1">
      <c r="A330" s="603"/>
    </row>
    <row r="331" spans="1:1">
      <c r="A331" s="603"/>
    </row>
    <row r="332" spans="1:1">
      <c r="A332" s="603"/>
    </row>
    <row r="333" spans="1:1">
      <c r="A333" s="603"/>
    </row>
    <row r="334" spans="1:1">
      <c r="A334" s="603"/>
    </row>
    <row r="335" spans="1:1">
      <c r="A335" s="603"/>
    </row>
    <row r="336" spans="1:1">
      <c r="A336" s="603"/>
    </row>
    <row r="337" spans="1:1">
      <c r="A337" s="603"/>
    </row>
    <row r="338" spans="1:1">
      <c r="A338" s="603"/>
    </row>
    <row r="339" spans="1:1">
      <c r="A339" s="603"/>
    </row>
    <row r="340" spans="1:1">
      <c r="A340" s="603"/>
    </row>
    <row r="341" spans="1:1">
      <c r="A341" s="603"/>
    </row>
    <row r="342" spans="1:1">
      <c r="A342" s="603"/>
    </row>
    <row r="343" spans="1:1">
      <c r="A343" s="603"/>
    </row>
    <row r="344" spans="1:1">
      <c r="A344" s="603"/>
    </row>
    <row r="345" spans="1:1">
      <c r="A345" s="603"/>
    </row>
    <row r="346" spans="1:1">
      <c r="A346" s="603"/>
    </row>
    <row r="347" spans="1:1">
      <c r="A347" s="603"/>
    </row>
    <row r="348" spans="1:1">
      <c r="A348" s="603"/>
    </row>
    <row r="349" spans="1:1">
      <c r="A349" s="603"/>
    </row>
    <row r="350" spans="1:1">
      <c r="A350" s="603"/>
    </row>
    <row r="351" spans="1:1">
      <c r="A351" s="603"/>
    </row>
    <row r="352" spans="1:1">
      <c r="A352" s="603"/>
    </row>
    <row r="353" spans="1:1">
      <c r="A353" s="603"/>
    </row>
    <row r="354" spans="1:1">
      <c r="A354" s="603"/>
    </row>
    <row r="355" spans="1:1">
      <c r="A355" s="603"/>
    </row>
    <row r="356" spans="1:1">
      <c r="A356" s="603"/>
    </row>
    <row r="357" spans="1:1">
      <c r="A357" s="603"/>
    </row>
    <row r="358" spans="1:1">
      <c r="A358" s="603"/>
    </row>
    <row r="359" spans="1:1">
      <c r="A359" s="603"/>
    </row>
    <row r="360" spans="1:1">
      <c r="A360" s="603"/>
    </row>
    <row r="361" spans="1:1">
      <c r="A361" s="603"/>
    </row>
    <row r="362" spans="1:1">
      <c r="A362" s="603"/>
    </row>
    <row r="363" spans="1:1">
      <c r="A363" s="603"/>
    </row>
    <row r="364" spans="1:1">
      <c r="A364" s="603"/>
    </row>
    <row r="365" spans="1:1">
      <c r="A365" s="603"/>
    </row>
    <row r="366" spans="1:1">
      <c r="A366" s="603"/>
    </row>
    <row r="367" spans="1:1">
      <c r="A367" s="603"/>
    </row>
    <row r="368" spans="1:1">
      <c r="A368" s="603"/>
    </row>
    <row r="369" spans="1:1">
      <c r="A369" s="603"/>
    </row>
    <row r="370" spans="1:1">
      <c r="A370" s="603"/>
    </row>
    <row r="371" spans="1:1">
      <c r="A371" s="603"/>
    </row>
    <row r="372" spans="1:1">
      <c r="A372" s="603"/>
    </row>
    <row r="373" spans="1:1">
      <c r="A373" s="603"/>
    </row>
    <row r="374" spans="1:1">
      <c r="A374" s="603"/>
    </row>
    <row r="375" spans="1:1">
      <c r="A375" s="603"/>
    </row>
    <row r="376" spans="1:1">
      <c r="A376" s="603"/>
    </row>
    <row r="377" spans="1:1">
      <c r="A377" s="603"/>
    </row>
    <row r="378" spans="1:1">
      <c r="A378" s="603"/>
    </row>
    <row r="379" spans="1:1">
      <c r="A379" s="603"/>
    </row>
    <row r="380" spans="1:1">
      <c r="A380" s="603"/>
    </row>
    <row r="381" spans="1:1">
      <c r="A381" s="603"/>
    </row>
    <row r="382" spans="1:1">
      <c r="A382" s="603"/>
    </row>
    <row r="383" spans="1:1">
      <c r="A383" s="603"/>
    </row>
    <row r="384" spans="1:1">
      <c r="A384" s="603"/>
    </row>
    <row r="385" spans="1:1">
      <c r="A385" s="603"/>
    </row>
    <row r="386" spans="1:1">
      <c r="A386" s="603"/>
    </row>
    <row r="387" spans="1:1">
      <c r="A387" s="603"/>
    </row>
    <row r="388" spans="1:1">
      <c r="A388" s="603"/>
    </row>
    <row r="389" spans="1:1">
      <c r="A389" s="603"/>
    </row>
    <row r="390" spans="1:1">
      <c r="A390" s="603"/>
    </row>
    <row r="391" spans="1:1">
      <c r="A391" s="603"/>
    </row>
    <row r="392" spans="1:1">
      <c r="A392" s="603"/>
    </row>
    <row r="393" spans="1:1">
      <c r="A393" s="603"/>
    </row>
    <row r="394" spans="1:1">
      <c r="A394" s="603"/>
    </row>
    <row r="395" spans="1:1">
      <c r="A395" s="603"/>
    </row>
    <row r="396" spans="1:1">
      <c r="A396" s="603"/>
    </row>
    <row r="397" spans="1:1">
      <c r="A397" s="603"/>
    </row>
    <row r="398" spans="1:1">
      <c r="A398" s="603"/>
    </row>
    <row r="399" spans="1:1">
      <c r="A399" s="603"/>
    </row>
    <row r="400" spans="1:1">
      <c r="A400" s="603"/>
    </row>
    <row r="401" spans="1:1">
      <c r="A401" s="603"/>
    </row>
    <row r="402" spans="1:1">
      <c r="A402" s="603"/>
    </row>
    <row r="403" spans="1:1">
      <c r="A403" s="603"/>
    </row>
    <row r="404" spans="1:1">
      <c r="A404" s="603"/>
    </row>
    <row r="405" spans="1:1">
      <c r="A405" s="603"/>
    </row>
    <row r="406" spans="1:1">
      <c r="A406" s="603"/>
    </row>
    <row r="407" spans="1:1">
      <c r="A407" s="603"/>
    </row>
    <row r="408" spans="1:1">
      <c r="A408" s="603"/>
    </row>
    <row r="409" spans="1:1">
      <c r="A409" s="603"/>
    </row>
    <row r="410" spans="1:1">
      <c r="A410" s="603"/>
    </row>
    <row r="411" spans="1:1">
      <c r="A411" s="603"/>
    </row>
    <row r="412" spans="1:1">
      <c r="A412" s="603"/>
    </row>
    <row r="413" spans="1:1">
      <c r="A413" s="603"/>
    </row>
    <row r="414" spans="1:1">
      <c r="A414" s="603"/>
    </row>
    <row r="415" spans="1:1">
      <c r="A415" s="603"/>
    </row>
    <row r="416" spans="1:1">
      <c r="A416" s="603"/>
    </row>
    <row r="417" spans="1:1">
      <c r="A417" s="603"/>
    </row>
    <row r="418" spans="1:1">
      <c r="A418" s="603"/>
    </row>
    <row r="419" spans="1:1">
      <c r="A419" s="603"/>
    </row>
    <row r="420" spans="1:1">
      <c r="A420" s="603"/>
    </row>
    <row r="421" spans="1:1">
      <c r="A421" s="603"/>
    </row>
    <row r="422" spans="1:1">
      <c r="A422" s="603"/>
    </row>
    <row r="423" spans="1:1">
      <c r="A423" s="603"/>
    </row>
    <row r="424" spans="1:1">
      <c r="A424" s="603"/>
    </row>
    <row r="425" spans="1:1">
      <c r="A425" s="603"/>
    </row>
    <row r="426" spans="1:1">
      <c r="A426" s="603"/>
    </row>
    <row r="427" spans="1:1">
      <c r="A427" s="603"/>
    </row>
    <row r="428" spans="1:1">
      <c r="A428" s="603"/>
    </row>
    <row r="429" spans="1:1">
      <c r="A429" s="603"/>
    </row>
    <row r="430" spans="1:1">
      <c r="A430" s="603"/>
    </row>
    <row r="431" spans="1:1">
      <c r="A431" s="603"/>
    </row>
    <row r="432" spans="1:1">
      <c r="A432" s="603"/>
    </row>
    <row r="433" spans="1:1">
      <c r="A433" s="603"/>
    </row>
    <row r="434" spans="1:1">
      <c r="A434" s="603"/>
    </row>
    <row r="435" spans="1:1">
      <c r="A435" s="603"/>
    </row>
    <row r="436" spans="1:1">
      <c r="A436" s="603"/>
    </row>
    <row r="437" spans="1:1">
      <c r="A437" s="603"/>
    </row>
    <row r="438" spans="1:1">
      <c r="A438" s="603"/>
    </row>
    <row r="439" spans="1:1">
      <c r="A439" s="603"/>
    </row>
    <row r="440" spans="1:1">
      <c r="A440" s="603"/>
    </row>
    <row r="441" spans="1:1">
      <c r="A441" s="603"/>
    </row>
    <row r="442" spans="1:1">
      <c r="A442" s="603"/>
    </row>
    <row r="443" spans="1:1">
      <c r="A443" s="603"/>
    </row>
    <row r="444" spans="1:1">
      <c r="A444" s="603"/>
    </row>
    <row r="445" spans="1:1">
      <c r="A445" s="603"/>
    </row>
    <row r="446" spans="1:1">
      <c r="A446" s="603"/>
    </row>
    <row r="447" spans="1:1">
      <c r="A447" s="603"/>
    </row>
    <row r="448" spans="1:1">
      <c r="A448" s="603"/>
    </row>
    <row r="449" spans="1:1">
      <c r="A449" s="603"/>
    </row>
    <row r="450" spans="1:1">
      <c r="A450" s="603"/>
    </row>
    <row r="451" spans="1:1">
      <c r="A451" s="603"/>
    </row>
    <row r="452" spans="1:1">
      <c r="A452" s="603"/>
    </row>
    <row r="453" spans="1:1">
      <c r="A453" s="603"/>
    </row>
    <row r="454" spans="1:1">
      <c r="A454" s="603"/>
    </row>
    <row r="455" spans="1:1">
      <c r="A455" s="603"/>
    </row>
    <row r="456" spans="1:1">
      <c r="A456" s="603"/>
    </row>
    <row r="457" spans="1:1">
      <c r="A457" s="603"/>
    </row>
    <row r="458" spans="1:1">
      <c r="A458" s="603"/>
    </row>
    <row r="459" spans="1:1">
      <c r="A459" s="603"/>
    </row>
    <row r="460" spans="1:1">
      <c r="A460" s="603"/>
    </row>
    <row r="461" spans="1:1">
      <c r="A461" s="603"/>
    </row>
    <row r="462" spans="1:1">
      <c r="A462" s="603"/>
    </row>
    <row r="463" spans="1:1">
      <c r="A463" s="603"/>
    </row>
    <row r="464" spans="1:1">
      <c r="A464" s="603"/>
    </row>
    <row r="465" spans="1:1">
      <c r="A465" s="603"/>
    </row>
    <row r="466" spans="1:1">
      <c r="A466" s="603"/>
    </row>
    <row r="467" spans="1:1">
      <c r="A467" s="603"/>
    </row>
    <row r="468" spans="1:1">
      <c r="A468" s="603"/>
    </row>
    <row r="469" spans="1:1">
      <c r="A469" s="603"/>
    </row>
    <row r="470" spans="1:1">
      <c r="A470" s="603"/>
    </row>
    <row r="471" spans="1:1">
      <c r="A471" s="603"/>
    </row>
    <row r="472" spans="1:1">
      <c r="A472" s="603"/>
    </row>
    <row r="473" spans="1:1">
      <c r="A473" s="603"/>
    </row>
    <row r="474" spans="1:1">
      <c r="A474" s="603"/>
    </row>
    <row r="475" spans="1:1">
      <c r="A475" s="603"/>
    </row>
    <row r="476" spans="1:1">
      <c r="A476" s="603"/>
    </row>
    <row r="477" spans="1:1">
      <c r="A477" s="603"/>
    </row>
    <row r="478" spans="1:1">
      <c r="A478" s="603"/>
    </row>
    <row r="479" spans="1:1">
      <c r="A479" s="603"/>
    </row>
    <row r="480" spans="1:1">
      <c r="A480" s="603"/>
    </row>
    <row r="481" spans="1:1">
      <c r="A481" s="603"/>
    </row>
    <row r="482" spans="1:1">
      <c r="A482" s="603"/>
    </row>
    <row r="483" spans="1:1">
      <c r="A483" s="603"/>
    </row>
    <row r="484" spans="1:1">
      <c r="A484" s="603"/>
    </row>
    <row r="485" spans="1:1">
      <c r="A485" s="603"/>
    </row>
    <row r="486" spans="1:1">
      <c r="A486" s="603"/>
    </row>
    <row r="487" spans="1:1">
      <c r="A487" s="603"/>
    </row>
    <row r="488" spans="1:1">
      <c r="A488" s="603"/>
    </row>
    <row r="489" spans="1:1">
      <c r="A489" s="603"/>
    </row>
    <row r="490" spans="1:1">
      <c r="A490" s="603"/>
    </row>
    <row r="491" spans="1:1">
      <c r="A491" s="603"/>
    </row>
    <row r="492" spans="1:1">
      <c r="A492" s="603"/>
    </row>
    <row r="493" spans="1:1">
      <c r="A493" s="603"/>
    </row>
    <row r="494" spans="1:1">
      <c r="A494" s="603"/>
    </row>
    <row r="495" spans="1:1">
      <c r="A495" s="603"/>
    </row>
    <row r="496" spans="1:1">
      <c r="A496" s="603"/>
    </row>
    <row r="497" spans="1:1">
      <c r="A497" s="603"/>
    </row>
    <row r="498" spans="1:1">
      <c r="A498" s="603"/>
    </row>
    <row r="499" spans="1:1">
      <c r="A499" s="603"/>
    </row>
    <row r="500" spans="1:1">
      <c r="A500" s="603"/>
    </row>
    <row r="501" spans="1:1">
      <c r="A501" s="603"/>
    </row>
    <row r="502" spans="1:1">
      <c r="A502" s="603"/>
    </row>
    <row r="503" spans="1:1">
      <c r="A503" s="603"/>
    </row>
    <row r="504" spans="1:1">
      <c r="A504" s="603"/>
    </row>
    <row r="505" spans="1:1">
      <c r="A505" s="603"/>
    </row>
    <row r="506" spans="1:1">
      <c r="A506" s="603"/>
    </row>
    <row r="507" spans="1:1">
      <c r="A507" s="603"/>
    </row>
    <row r="508" spans="1:1">
      <c r="A508" s="603"/>
    </row>
    <row r="509" spans="1:1">
      <c r="A509" s="603"/>
    </row>
    <row r="510" spans="1:1">
      <c r="A510" s="603"/>
    </row>
    <row r="511" spans="1:1">
      <c r="A511" s="603"/>
    </row>
    <row r="512" spans="1:1">
      <c r="A512" s="603"/>
    </row>
    <row r="513" spans="1:1">
      <c r="A513" s="603"/>
    </row>
    <row r="514" spans="1:1">
      <c r="A514" s="603"/>
    </row>
    <row r="515" spans="1:1">
      <c r="A515" s="603"/>
    </row>
    <row r="516" spans="1:1">
      <c r="A516" s="603"/>
    </row>
    <row r="517" spans="1:1">
      <c r="A517" s="603"/>
    </row>
    <row r="518" spans="1:1">
      <c r="A518" s="603"/>
    </row>
    <row r="519" spans="1:1">
      <c r="A519" s="603"/>
    </row>
    <row r="520" spans="1:1">
      <c r="A520" s="603"/>
    </row>
    <row r="521" spans="1:1">
      <c r="A521" s="603"/>
    </row>
    <row r="522" spans="1:1">
      <c r="A522" s="603"/>
    </row>
    <row r="523" spans="1:1">
      <c r="A523" s="603"/>
    </row>
    <row r="524" spans="1:1">
      <c r="A524" s="603"/>
    </row>
    <row r="525" spans="1:1">
      <c r="A525" s="603"/>
    </row>
    <row r="526" spans="1:1">
      <c r="A526" s="603"/>
    </row>
    <row r="527" spans="1:1">
      <c r="A527" s="603"/>
    </row>
    <row r="528" spans="1:1">
      <c r="A528" s="603"/>
    </row>
    <row r="529" spans="1:1">
      <c r="A529" s="603"/>
    </row>
    <row r="530" spans="1:1">
      <c r="A530" s="603"/>
    </row>
    <row r="531" spans="1:1">
      <c r="A531" s="603"/>
    </row>
    <row r="532" spans="1:1">
      <c r="A532" s="603"/>
    </row>
    <row r="533" spans="1:1">
      <c r="A533" s="603"/>
    </row>
    <row r="534" spans="1:1">
      <c r="A534" s="603"/>
    </row>
    <row r="535" spans="1:1">
      <c r="A535" s="603"/>
    </row>
    <row r="536" spans="1:1">
      <c r="A536" s="603"/>
    </row>
    <row r="537" spans="1:1">
      <c r="A537" s="603"/>
    </row>
    <row r="538" spans="1:1">
      <c r="A538" s="603"/>
    </row>
    <row r="539" spans="1:1">
      <c r="A539" s="603"/>
    </row>
    <row r="540" spans="1:1">
      <c r="A540" s="603"/>
    </row>
    <row r="541" spans="1:1">
      <c r="A541" s="603"/>
    </row>
    <row r="542" spans="1:1">
      <c r="A542" s="603"/>
    </row>
    <row r="543" spans="1:1">
      <c r="A543" s="603"/>
    </row>
    <row r="544" spans="1:1">
      <c r="A544" s="603"/>
    </row>
    <row r="545" spans="1:1">
      <c r="A545" s="603"/>
    </row>
    <row r="546" spans="1:1">
      <c r="A546" s="603"/>
    </row>
    <row r="547" spans="1:1">
      <c r="A547" s="603"/>
    </row>
    <row r="548" spans="1:1">
      <c r="A548" s="603"/>
    </row>
    <row r="549" spans="1:1">
      <c r="A549" s="603"/>
    </row>
    <row r="550" spans="1:1">
      <c r="A550" s="603"/>
    </row>
    <row r="551" spans="1:1">
      <c r="A551" s="603"/>
    </row>
    <row r="552" spans="1:1">
      <c r="A552" s="603"/>
    </row>
    <row r="553" spans="1:1">
      <c r="A553" s="603"/>
    </row>
    <row r="554" spans="1:1">
      <c r="A554" s="603"/>
    </row>
    <row r="555" spans="1:1">
      <c r="A555" s="603"/>
    </row>
    <row r="556" spans="1:1">
      <c r="A556" s="603"/>
    </row>
    <row r="557" spans="1:1">
      <c r="A557" s="603"/>
    </row>
    <row r="558" spans="1:1">
      <c r="A558" s="603"/>
    </row>
    <row r="559" spans="1:1">
      <c r="A559" s="603"/>
    </row>
    <row r="560" spans="1:1">
      <c r="A560" s="603"/>
    </row>
    <row r="561" spans="1:1">
      <c r="A561" s="603"/>
    </row>
    <row r="562" spans="1:1">
      <c r="A562" s="603"/>
    </row>
    <row r="563" spans="1:1">
      <c r="A563" s="603"/>
    </row>
    <row r="564" spans="1:1">
      <c r="A564" s="603"/>
    </row>
    <row r="565" spans="1:1">
      <c r="A565" s="603"/>
    </row>
    <row r="566" spans="1:1">
      <c r="A566" s="603"/>
    </row>
    <row r="567" spans="1:1">
      <c r="A567" s="603"/>
    </row>
    <row r="568" spans="1:1">
      <c r="A568" s="603"/>
    </row>
    <row r="569" spans="1:1">
      <c r="A569" s="603"/>
    </row>
    <row r="570" spans="1:1">
      <c r="A570" s="603"/>
    </row>
    <row r="571" spans="1:1">
      <c r="A571" s="603"/>
    </row>
    <row r="572" spans="1:1">
      <c r="A572" s="603"/>
    </row>
    <row r="573" spans="1:1">
      <c r="A573" s="603"/>
    </row>
    <row r="574" spans="1:1">
      <c r="A574" s="603"/>
    </row>
    <row r="575" spans="1:1">
      <c r="A575" s="603"/>
    </row>
    <row r="576" spans="1:1">
      <c r="A576" s="603"/>
    </row>
    <row r="577" spans="1:1">
      <c r="A577" s="603"/>
    </row>
    <row r="578" spans="1:1">
      <c r="A578" s="603"/>
    </row>
    <row r="579" spans="1:1">
      <c r="A579" s="603"/>
    </row>
    <row r="580" spans="1:1">
      <c r="A580" s="603"/>
    </row>
    <row r="581" spans="1:1">
      <c r="A581" s="603"/>
    </row>
    <row r="582" spans="1:1">
      <c r="A582" s="603"/>
    </row>
    <row r="583" spans="1:1">
      <c r="A583" s="603"/>
    </row>
    <row r="584" spans="1:1">
      <c r="A584" s="603"/>
    </row>
    <row r="585" spans="1:1">
      <c r="A585" s="603"/>
    </row>
    <row r="586" spans="1:1">
      <c r="A586" s="603"/>
    </row>
    <row r="587" spans="1:1">
      <c r="A587" s="603"/>
    </row>
    <row r="588" spans="1:1">
      <c r="A588" s="603"/>
    </row>
    <row r="589" spans="1:1">
      <c r="A589" s="603"/>
    </row>
    <row r="590" spans="1:1">
      <c r="A590" s="603"/>
    </row>
    <row r="591" spans="1:1">
      <c r="A591" s="603"/>
    </row>
    <row r="592" spans="1:1">
      <c r="A592" s="603"/>
    </row>
    <row r="593" spans="1:1">
      <c r="A593" s="603"/>
    </row>
    <row r="594" spans="1:1">
      <c r="A594" s="603"/>
    </row>
    <row r="595" spans="1:1">
      <c r="A595" s="603"/>
    </row>
    <row r="596" spans="1:1">
      <c r="A596" s="603"/>
    </row>
    <row r="597" spans="1:1">
      <c r="A597" s="603"/>
    </row>
    <row r="598" spans="1:1">
      <c r="A598" s="603"/>
    </row>
    <row r="599" spans="1:1">
      <c r="A599" s="603"/>
    </row>
    <row r="600" spans="1:1">
      <c r="A600" s="603"/>
    </row>
    <row r="601" spans="1:1">
      <c r="A601" s="603"/>
    </row>
    <row r="602" spans="1:1">
      <c r="A602" s="603"/>
    </row>
    <row r="603" spans="1:1">
      <c r="A603" s="603"/>
    </row>
    <row r="604" spans="1:1">
      <c r="A604" s="603"/>
    </row>
    <row r="605" spans="1:1">
      <c r="A605" s="603"/>
    </row>
    <row r="606" spans="1:1">
      <c r="A606" s="603"/>
    </row>
    <row r="607" spans="1:1">
      <c r="A607" s="603"/>
    </row>
    <row r="608" spans="1:1">
      <c r="A608" s="603"/>
    </row>
    <row r="609" spans="1:1">
      <c r="A609" s="603"/>
    </row>
    <row r="610" spans="1:1">
      <c r="A610" s="603"/>
    </row>
    <row r="611" spans="1:1">
      <c r="A611" s="603"/>
    </row>
    <row r="612" spans="1:1">
      <c r="A612" s="603"/>
    </row>
    <row r="613" spans="1:1">
      <c r="A613" s="603"/>
    </row>
    <row r="614" spans="1:1">
      <c r="A614" s="603"/>
    </row>
    <row r="615" spans="1:1">
      <c r="A615" s="603"/>
    </row>
    <row r="616" spans="1:1">
      <c r="A616" s="603"/>
    </row>
    <row r="617" spans="1:1">
      <c r="A617" s="603"/>
    </row>
    <row r="618" spans="1:1">
      <c r="A618" s="603"/>
    </row>
    <row r="619" spans="1:1">
      <c r="A619" s="603"/>
    </row>
    <row r="620" spans="1:1">
      <c r="A620" s="603"/>
    </row>
    <row r="621" spans="1:1">
      <c r="A621" s="603"/>
    </row>
    <row r="622" spans="1:1">
      <c r="A622" s="603"/>
    </row>
    <row r="623" spans="1:1">
      <c r="A623" s="603"/>
    </row>
    <row r="624" spans="1:1">
      <c r="A624" s="603"/>
    </row>
    <row r="625" spans="1:1">
      <c r="A625" s="603"/>
    </row>
    <row r="626" spans="1:1">
      <c r="A626" s="603"/>
    </row>
    <row r="627" spans="1:1">
      <c r="A627" s="603"/>
    </row>
    <row r="628" spans="1:1">
      <c r="A628" s="603"/>
    </row>
    <row r="629" spans="1:1">
      <c r="A629" s="603"/>
    </row>
    <row r="630" spans="1:1">
      <c r="A630" s="603"/>
    </row>
    <row r="631" spans="1:1">
      <c r="A631" s="603"/>
    </row>
    <row r="632" spans="1:1">
      <c r="A632" s="603"/>
    </row>
    <row r="633" spans="1:1">
      <c r="A633" s="603"/>
    </row>
    <row r="634" spans="1:1">
      <c r="A634" s="603"/>
    </row>
    <row r="635" spans="1:1">
      <c r="A635" s="603"/>
    </row>
    <row r="636" spans="1:1">
      <c r="A636" s="603"/>
    </row>
    <row r="637" spans="1:1">
      <c r="A637" s="603"/>
    </row>
    <row r="638" spans="1:1">
      <c r="A638" s="603"/>
    </row>
    <row r="639" spans="1:1">
      <c r="A639" s="603"/>
    </row>
    <row r="640" spans="1:1">
      <c r="A640" s="603"/>
    </row>
    <row r="641" spans="1:1">
      <c r="A641" s="603"/>
    </row>
    <row r="642" spans="1:1">
      <c r="A642" s="603"/>
    </row>
    <row r="643" spans="1:1">
      <c r="A643" s="603"/>
    </row>
    <row r="644" spans="1:1">
      <c r="A644" s="603"/>
    </row>
    <row r="645" spans="1:1">
      <c r="A645" s="603"/>
    </row>
    <row r="646" spans="1:1">
      <c r="A646" s="603"/>
    </row>
    <row r="647" spans="1:1">
      <c r="A647" s="603"/>
    </row>
    <row r="648" spans="1:1">
      <c r="A648" s="603"/>
    </row>
    <row r="649" spans="1:1">
      <c r="A649" s="603"/>
    </row>
    <row r="650" spans="1:1">
      <c r="A650" s="603"/>
    </row>
    <row r="651" spans="1:1">
      <c r="A651" s="603"/>
    </row>
    <row r="652" spans="1:1">
      <c r="A652" s="603"/>
    </row>
    <row r="653" spans="1:1">
      <c r="A653" s="603"/>
    </row>
    <row r="654" spans="1:1">
      <c r="A654" s="603"/>
    </row>
    <row r="655" spans="1:1">
      <c r="A655" s="603"/>
    </row>
    <row r="656" spans="1:1">
      <c r="A656" s="603"/>
    </row>
    <row r="657" spans="1:1">
      <c r="A657" s="603"/>
    </row>
    <row r="658" spans="1:1">
      <c r="A658" s="603"/>
    </row>
    <row r="659" spans="1:1">
      <c r="A659" s="603"/>
    </row>
    <row r="660" spans="1:1">
      <c r="A660" s="603"/>
    </row>
    <row r="661" spans="1:1">
      <c r="A661" s="603"/>
    </row>
    <row r="662" spans="1:1">
      <c r="A662" s="603"/>
    </row>
    <row r="663" spans="1:1">
      <c r="A663" s="603"/>
    </row>
    <row r="664" spans="1:1">
      <c r="A664" s="603"/>
    </row>
    <row r="665" spans="1:1">
      <c r="A665" s="603"/>
    </row>
    <row r="666" spans="1:1">
      <c r="A666" s="603"/>
    </row>
    <row r="667" spans="1:1">
      <c r="A667" s="603"/>
    </row>
    <row r="668" spans="1:1">
      <c r="A668" s="603"/>
    </row>
    <row r="669" spans="1:1">
      <c r="A669" s="603"/>
    </row>
    <row r="670" spans="1:1">
      <c r="A670" s="603"/>
    </row>
    <row r="671" spans="1:1">
      <c r="A671" s="603"/>
    </row>
    <row r="672" spans="1:1">
      <c r="A672" s="603"/>
    </row>
    <row r="673" spans="1:1">
      <c r="A673" s="603"/>
    </row>
    <row r="674" spans="1:1">
      <c r="A674" s="603"/>
    </row>
    <row r="675" spans="1:1">
      <c r="A675" s="603"/>
    </row>
    <row r="676" spans="1:1">
      <c r="A676" s="603"/>
    </row>
    <row r="677" spans="1:1">
      <c r="A677" s="603"/>
    </row>
    <row r="678" spans="1:1">
      <c r="A678" s="603"/>
    </row>
    <row r="679" spans="1:1">
      <c r="A679" s="603"/>
    </row>
    <row r="680" spans="1:1">
      <c r="A680" s="603"/>
    </row>
    <row r="681" spans="1:1">
      <c r="A681" s="603"/>
    </row>
    <row r="682" spans="1:1">
      <c r="A682" s="603"/>
    </row>
    <row r="683" spans="1:1">
      <c r="A683" s="603"/>
    </row>
    <row r="684" spans="1:1">
      <c r="A684" s="603"/>
    </row>
    <row r="685" spans="1:1">
      <c r="A685" s="603"/>
    </row>
    <row r="686" spans="1:1">
      <c r="A686" s="603"/>
    </row>
    <row r="687" spans="1:1">
      <c r="A687" s="603"/>
    </row>
    <row r="688" spans="1:1">
      <c r="A688" s="603"/>
    </row>
    <row r="689" spans="1:1">
      <c r="A689" s="603"/>
    </row>
    <row r="690" spans="1:1">
      <c r="A690" s="603"/>
    </row>
    <row r="691" spans="1:1">
      <c r="A691" s="603"/>
    </row>
    <row r="692" spans="1:1">
      <c r="A692" s="603"/>
    </row>
    <row r="693" spans="1:1">
      <c r="A693" s="603"/>
    </row>
    <row r="694" spans="1:1">
      <c r="A694" s="603"/>
    </row>
    <row r="695" spans="1:1">
      <c r="A695" s="603"/>
    </row>
    <row r="696" spans="1:1">
      <c r="A696" s="603"/>
    </row>
    <row r="697" spans="1:1">
      <c r="A697" s="603"/>
    </row>
    <row r="698" spans="1:1">
      <c r="A698" s="603"/>
    </row>
    <row r="699" spans="1:1">
      <c r="A699" s="603"/>
    </row>
    <row r="700" spans="1:1">
      <c r="A700" s="603"/>
    </row>
    <row r="701" spans="1:1">
      <c r="A701" s="603"/>
    </row>
    <row r="702" spans="1:1">
      <c r="A702" s="603"/>
    </row>
    <row r="703" spans="1:1">
      <c r="A703" s="603"/>
    </row>
    <row r="704" spans="1:1">
      <c r="A704" s="603"/>
    </row>
    <row r="705" spans="1:1">
      <c r="A705" s="603"/>
    </row>
    <row r="706" spans="1:1">
      <c r="A706" s="603"/>
    </row>
    <row r="707" spans="1:1">
      <c r="A707" s="603"/>
    </row>
    <row r="708" spans="1:1">
      <c r="A708" s="603"/>
    </row>
    <row r="709" spans="1:1">
      <c r="A709" s="603"/>
    </row>
    <row r="710" spans="1:1">
      <c r="A710" s="603"/>
    </row>
    <row r="711" spans="1:1">
      <c r="A711" s="603"/>
    </row>
    <row r="712" spans="1:1">
      <c r="A712" s="603"/>
    </row>
    <row r="713" spans="1:1">
      <c r="A713" s="603"/>
    </row>
    <row r="714" spans="1:1">
      <c r="A714" s="603"/>
    </row>
    <row r="715" spans="1:1">
      <c r="A715" s="603"/>
    </row>
    <row r="716" spans="1:1">
      <c r="A716" s="603"/>
    </row>
    <row r="717" spans="1:1">
      <c r="A717" s="603"/>
    </row>
    <row r="718" spans="1:1">
      <c r="A718" s="603"/>
    </row>
    <row r="719" spans="1:1">
      <c r="A719" s="603"/>
    </row>
    <row r="720" spans="1:1">
      <c r="A720" s="603"/>
    </row>
    <row r="721" spans="1:1">
      <c r="A721" s="603"/>
    </row>
    <row r="722" spans="1:1">
      <c r="A722" s="603"/>
    </row>
    <row r="723" spans="1:1">
      <c r="A723" s="603"/>
    </row>
    <row r="724" spans="1:1">
      <c r="A724" s="603"/>
    </row>
    <row r="725" spans="1:1">
      <c r="A725" s="603"/>
    </row>
    <row r="726" spans="1:1">
      <c r="A726" s="603"/>
    </row>
    <row r="727" spans="1:1">
      <c r="A727" s="603"/>
    </row>
    <row r="728" spans="1:1">
      <c r="A728" s="603"/>
    </row>
    <row r="729" spans="1:1">
      <c r="A729" s="603"/>
    </row>
    <row r="730" spans="1:1">
      <c r="A730" s="603"/>
    </row>
    <row r="731" spans="1:1">
      <c r="A731" s="603"/>
    </row>
    <row r="732" spans="1:1">
      <c r="A732" s="603"/>
    </row>
    <row r="733" spans="1:1">
      <c r="A733" s="603"/>
    </row>
    <row r="734" spans="1:1">
      <c r="A734" s="603"/>
    </row>
    <row r="735" spans="1:1">
      <c r="A735" s="603"/>
    </row>
    <row r="736" spans="1:1">
      <c r="A736" s="603"/>
    </row>
    <row r="737" spans="1:1">
      <c r="A737" s="603"/>
    </row>
    <row r="738" spans="1:1">
      <c r="A738" s="603"/>
    </row>
    <row r="739" spans="1:1">
      <c r="A739" s="603"/>
    </row>
    <row r="740" spans="1:1">
      <c r="A740" s="603"/>
    </row>
    <row r="741" spans="1:1">
      <c r="A741" s="603"/>
    </row>
    <row r="742" spans="1:1">
      <c r="A742" s="603"/>
    </row>
    <row r="743" spans="1:1">
      <c r="A743" s="603"/>
    </row>
    <row r="744" spans="1:1">
      <c r="A744" s="603"/>
    </row>
    <row r="745" spans="1:1">
      <c r="A745" s="603"/>
    </row>
    <row r="746" spans="1:1">
      <c r="A746" s="603"/>
    </row>
    <row r="747" spans="1:1">
      <c r="A747" s="603"/>
    </row>
    <row r="748" spans="1:1">
      <c r="A748" s="603"/>
    </row>
    <row r="749" spans="1:1">
      <c r="A749" s="603"/>
    </row>
    <row r="750" spans="1:1">
      <c r="A750" s="603"/>
    </row>
    <row r="751" spans="1:1">
      <c r="A751" s="603"/>
    </row>
    <row r="752" spans="1:1">
      <c r="A752" s="603"/>
    </row>
    <row r="753" spans="1:1">
      <c r="A753" s="603"/>
    </row>
    <row r="754" spans="1:1">
      <c r="A754" s="603"/>
    </row>
    <row r="755" spans="1:1">
      <c r="A755" s="603"/>
    </row>
    <row r="756" spans="1:1">
      <c r="A756" s="603"/>
    </row>
    <row r="757" spans="1:1">
      <c r="A757" s="603"/>
    </row>
    <row r="758" spans="1:1">
      <c r="A758" s="603"/>
    </row>
    <row r="759" spans="1:1">
      <c r="A759" s="603"/>
    </row>
    <row r="760" spans="1:1">
      <c r="A760" s="603"/>
    </row>
    <row r="761" spans="1:1">
      <c r="A761" s="603"/>
    </row>
    <row r="762" spans="1:1">
      <c r="A762" s="603"/>
    </row>
    <row r="763" spans="1:1">
      <c r="A763" s="603"/>
    </row>
    <row r="764" spans="1:1">
      <c r="A764" s="603"/>
    </row>
    <row r="765" spans="1:1">
      <c r="A765" s="603"/>
    </row>
    <row r="766" spans="1:1">
      <c r="A766" s="603"/>
    </row>
    <row r="767" spans="1:1">
      <c r="A767" s="603"/>
    </row>
    <row r="768" spans="1:1">
      <c r="A768" s="603"/>
    </row>
    <row r="769" spans="1:1">
      <c r="A769" s="603"/>
    </row>
    <row r="770" spans="1:1">
      <c r="A770" s="603"/>
    </row>
    <row r="771" spans="1:1">
      <c r="A771" s="603"/>
    </row>
    <row r="772" spans="1:1">
      <c r="A772" s="603"/>
    </row>
    <row r="773" spans="1:1">
      <c r="A773" s="603"/>
    </row>
    <row r="774" spans="1:1">
      <c r="A774" s="603"/>
    </row>
    <row r="775" spans="1:1">
      <c r="A775" s="603"/>
    </row>
    <row r="776" spans="1:1">
      <c r="A776" s="603"/>
    </row>
    <row r="777" spans="1:1">
      <c r="A777" s="603"/>
    </row>
    <row r="778" spans="1:1">
      <c r="A778" s="603"/>
    </row>
    <row r="779" spans="1:1">
      <c r="A779" s="603"/>
    </row>
    <row r="780" spans="1:1">
      <c r="A780" s="603"/>
    </row>
    <row r="781" spans="1:1">
      <c r="A781" s="603"/>
    </row>
    <row r="782" spans="1:1">
      <c r="A782" s="603"/>
    </row>
    <row r="783" spans="1:1">
      <c r="A783" s="603"/>
    </row>
    <row r="784" spans="1:1">
      <c r="A784" s="603"/>
    </row>
    <row r="785" spans="1:1">
      <c r="A785" s="603"/>
    </row>
    <row r="786" spans="1:1">
      <c r="A786" s="603"/>
    </row>
    <row r="787" spans="1:1">
      <c r="A787" s="603"/>
    </row>
    <row r="788" spans="1:1">
      <c r="A788" s="603"/>
    </row>
    <row r="789" spans="1:1">
      <c r="A789" s="603"/>
    </row>
    <row r="790" spans="1:1">
      <c r="A790" s="603"/>
    </row>
    <row r="791" spans="1:1">
      <c r="A791" s="603"/>
    </row>
    <row r="792" spans="1:1">
      <c r="A792" s="603"/>
    </row>
    <row r="793" spans="1:1">
      <c r="A793" s="603"/>
    </row>
    <row r="794" spans="1:1">
      <c r="A794" s="603"/>
    </row>
    <row r="795" spans="1:1">
      <c r="A795" s="603"/>
    </row>
    <row r="796" spans="1:1">
      <c r="A796" s="603"/>
    </row>
    <row r="797" spans="1:1">
      <c r="A797" s="603"/>
    </row>
    <row r="798" spans="1:1">
      <c r="A798" s="603"/>
    </row>
    <row r="799" spans="1:1">
      <c r="A799" s="603"/>
    </row>
    <row r="800" spans="1:1">
      <c r="A800" s="603"/>
    </row>
    <row r="801" spans="1:1">
      <c r="A801" s="603"/>
    </row>
    <row r="802" spans="1:1">
      <c r="A802" s="603"/>
    </row>
    <row r="803" spans="1:1">
      <c r="A803" s="603"/>
    </row>
    <row r="804" spans="1:1">
      <c r="A804" s="603"/>
    </row>
    <row r="805" spans="1:1">
      <c r="A805" s="603"/>
    </row>
    <row r="806" spans="1:1">
      <c r="A806" s="603"/>
    </row>
    <row r="807" spans="1:1">
      <c r="A807" s="603"/>
    </row>
    <row r="808" spans="1:1">
      <c r="A808" s="603"/>
    </row>
    <row r="809" spans="1:1">
      <c r="A809" s="603"/>
    </row>
    <row r="810" spans="1:1">
      <c r="A810" s="603"/>
    </row>
    <row r="811" spans="1:1">
      <c r="A811" s="603"/>
    </row>
    <row r="812" spans="1:1">
      <c r="A812" s="603"/>
    </row>
    <row r="813" spans="1:1">
      <c r="A813" s="603"/>
    </row>
    <row r="814" spans="1:1">
      <c r="A814" s="603"/>
    </row>
    <row r="815" spans="1:1">
      <c r="A815" s="603"/>
    </row>
    <row r="816" spans="1:1">
      <c r="A816" s="603"/>
    </row>
    <row r="817" spans="1:1">
      <c r="A817" s="603"/>
    </row>
    <row r="818" spans="1:1">
      <c r="A818" s="603"/>
    </row>
    <row r="819" spans="1:1">
      <c r="A819" s="603"/>
    </row>
    <row r="820" spans="1:1">
      <c r="A820" s="603"/>
    </row>
    <row r="821" spans="1:1">
      <c r="A821" s="603"/>
    </row>
    <row r="822" spans="1:1">
      <c r="A822" s="603"/>
    </row>
    <row r="823" spans="1:1">
      <c r="A823" s="603"/>
    </row>
    <row r="824" spans="1:1">
      <c r="A824" s="603"/>
    </row>
    <row r="825" spans="1:1">
      <c r="A825" s="603"/>
    </row>
    <row r="826" spans="1:1">
      <c r="A826" s="603"/>
    </row>
    <row r="827" spans="1:1">
      <c r="A827" s="603"/>
    </row>
    <row r="828" spans="1:1">
      <c r="A828" s="603"/>
    </row>
    <row r="829" spans="1:1">
      <c r="A829" s="603"/>
    </row>
    <row r="830" spans="1:1">
      <c r="A830" s="603"/>
    </row>
    <row r="831" spans="1:1">
      <c r="A831" s="603"/>
    </row>
    <row r="832" spans="1:1">
      <c r="A832" s="603"/>
    </row>
    <row r="833" spans="1:1">
      <c r="A833" s="603"/>
    </row>
    <row r="834" spans="1:1">
      <c r="A834" s="603"/>
    </row>
    <row r="835" spans="1:1">
      <c r="A835" s="603"/>
    </row>
    <row r="836" spans="1:1">
      <c r="A836" s="603"/>
    </row>
    <row r="837" spans="1:1">
      <c r="A837" s="603"/>
    </row>
    <row r="838" spans="1:1">
      <c r="A838" s="603"/>
    </row>
    <row r="839" spans="1:1">
      <c r="A839" s="603"/>
    </row>
    <row r="840" spans="1:1">
      <c r="A840" s="603"/>
    </row>
    <row r="841" spans="1:1">
      <c r="A841" s="603"/>
    </row>
    <row r="842" spans="1:1">
      <c r="A842" s="603"/>
    </row>
    <row r="843" spans="1:1">
      <c r="A843" s="603"/>
    </row>
    <row r="844" spans="1:1">
      <c r="A844" s="603"/>
    </row>
    <row r="845" spans="1:1">
      <c r="A845" s="603"/>
    </row>
    <row r="846" spans="1:1">
      <c r="A846" s="603"/>
    </row>
    <row r="847" spans="1:1">
      <c r="A847" s="603"/>
    </row>
    <row r="848" spans="1:1">
      <c r="A848" s="603"/>
    </row>
    <row r="849" spans="1:1">
      <c r="A849" s="603"/>
    </row>
    <row r="850" spans="1:1">
      <c r="A850" s="603"/>
    </row>
    <row r="851" spans="1:1">
      <c r="A851" s="603"/>
    </row>
    <row r="852" spans="1:1">
      <c r="A852" s="603"/>
    </row>
    <row r="853" spans="1:1">
      <c r="A853" s="603"/>
    </row>
    <row r="854" spans="1:1">
      <c r="A854" s="603"/>
    </row>
    <row r="855" spans="1:1">
      <c r="A855" s="603"/>
    </row>
    <row r="856" spans="1:1">
      <c r="A856" s="603"/>
    </row>
    <row r="857" spans="1:1">
      <c r="A857" s="603"/>
    </row>
    <row r="858" spans="1:1">
      <c r="A858" s="603"/>
    </row>
    <row r="859" spans="1:1">
      <c r="A859" s="603"/>
    </row>
    <row r="860" spans="1:1">
      <c r="A860" s="603"/>
    </row>
    <row r="861" spans="1:1">
      <c r="A861" s="603"/>
    </row>
    <row r="862" spans="1:1">
      <c r="A862" s="603"/>
    </row>
    <row r="863" spans="1:1">
      <c r="A863" s="603"/>
    </row>
    <row r="864" spans="1:1">
      <c r="A864" s="603"/>
    </row>
    <row r="865" spans="1:1">
      <c r="A865" s="603"/>
    </row>
    <row r="866" spans="1:1">
      <c r="A866" s="603"/>
    </row>
    <row r="867" spans="1:1">
      <c r="A867" s="603"/>
    </row>
    <row r="868" spans="1:1">
      <c r="A868" s="603"/>
    </row>
    <row r="869" spans="1:1">
      <c r="A869" s="603"/>
    </row>
    <row r="870" spans="1:1">
      <c r="A870" s="603"/>
    </row>
    <row r="871" spans="1:1">
      <c r="A871" s="603"/>
    </row>
    <row r="872" spans="1:1">
      <c r="A872" s="603"/>
    </row>
    <row r="873" spans="1:1">
      <c r="A873" s="603"/>
    </row>
    <row r="874" spans="1:1">
      <c r="A874" s="603"/>
    </row>
    <row r="875" spans="1:1">
      <c r="A875" s="603"/>
    </row>
    <row r="876" spans="1:1">
      <c r="A876" s="603"/>
    </row>
    <row r="877" spans="1:1">
      <c r="A877" s="603"/>
    </row>
    <row r="878" spans="1:1">
      <c r="A878" s="603"/>
    </row>
    <row r="879" spans="1:1">
      <c r="A879" s="603"/>
    </row>
    <row r="880" spans="1:1">
      <c r="A880" s="603"/>
    </row>
    <row r="881" spans="1:1">
      <c r="A881" s="603"/>
    </row>
    <row r="882" spans="1:1">
      <c r="A882" s="603"/>
    </row>
    <row r="883" spans="1:1">
      <c r="A883" s="603"/>
    </row>
    <row r="884" spans="1:1">
      <c r="A884" s="603"/>
    </row>
  </sheetData>
  <autoFilter ref="A1:E126"/>
  <pageMargins left="0.78740157499999996" right="0.78740157499999996" top="0.984251969" bottom="0.984251969" header="0.4921259845" footer="0.4921259845"/>
  <pageSetup paperSize="9" scale="71" orientation="landscape" r:id="rId1"/>
  <headerFooter alignWithMargins="0"/>
  <rowBreaks count="2" manualBreakCount="2">
    <brk id="43" max="4" man="1"/>
    <brk id="100" max="4" man="1"/>
  </rowBreaks>
  <colBreaks count="1" manualBreakCount="1">
    <brk id="4" min="1" max="107"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K60"/>
  <sheetViews>
    <sheetView showGridLines="0" zoomScaleNormal="100" workbookViewId="0">
      <selection activeCell="G22" sqref="G22"/>
    </sheetView>
  </sheetViews>
  <sheetFormatPr baseColWidth="10" defaultColWidth="11.42578125" defaultRowHeight="12.75"/>
  <cols>
    <col min="1" max="1" width="3.140625" style="1816" customWidth="1"/>
    <col min="2" max="2" width="30.42578125" style="1690" customWidth="1"/>
    <col min="3" max="3" width="10.5703125" style="1690" customWidth="1"/>
    <col min="4" max="5" width="12.7109375" style="1690" customWidth="1"/>
    <col min="6" max="6" width="9" style="1817" customWidth="1"/>
    <col min="7" max="7" width="12.7109375" style="1690" customWidth="1"/>
    <col min="8" max="8" width="9" style="1817" customWidth="1"/>
    <col min="9" max="16384" width="11.42578125" style="1690"/>
  </cols>
  <sheetData>
    <row r="1" spans="1:11" ht="55.5" customHeight="1">
      <c r="A1" s="1723"/>
      <c r="B1" s="1724"/>
      <c r="C1" s="1725"/>
      <c r="D1" s="1726">
        <f>'Seite 1'!D36</f>
        <v>2023</v>
      </c>
      <c r="E1" s="4338" t="str">
        <f>'Seite 1'!F36</f>
        <v>2024 (Hochrechnung)</v>
      </c>
      <c r="F1" s="4339"/>
      <c r="G1" s="4336" t="s">
        <v>100</v>
      </c>
      <c r="H1" s="4337"/>
    </row>
    <row r="2" spans="1:11" ht="48" customHeight="1" thickBot="1">
      <c r="A2" s="1727"/>
      <c r="B2" s="1728" t="s">
        <v>1523</v>
      </c>
      <c r="C2" s="1729"/>
      <c r="D2" s="1730" t="s">
        <v>36</v>
      </c>
      <c r="E2" s="1730" t="str">
        <f>'Copy &amp; Paste'!E76</f>
        <v/>
      </c>
      <c r="F2" s="1731" t="s">
        <v>37</v>
      </c>
      <c r="G2" s="1730" t="str">
        <f>'Copy &amp; Paste'!F76</f>
        <v>Kalkulation</v>
      </c>
      <c r="H2" s="1732" t="s">
        <v>37</v>
      </c>
    </row>
    <row r="3" spans="1:11" s="402" customFormat="1" ht="12" customHeight="1" thickBot="1">
      <c r="A3" s="1727"/>
      <c r="B3" s="1733"/>
      <c r="C3" s="1733"/>
      <c r="D3" s="1734">
        <v>1</v>
      </c>
      <c r="E3" s="1734">
        <v>2</v>
      </c>
      <c r="F3" s="1734">
        <v>3</v>
      </c>
      <c r="G3" s="1734">
        <v>4</v>
      </c>
      <c r="H3" s="1735">
        <v>5</v>
      </c>
    </row>
    <row r="4" spans="1:11" s="402" customFormat="1" ht="19.5" customHeight="1">
      <c r="A4" s="1736">
        <f>Belegung!A38+1</f>
        <v>47</v>
      </c>
      <c r="B4" s="1737" t="s">
        <v>39</v>
      </c>
      <c r="C4" s="1738" t="s">
        <v>40</v>
      </c>
      <c r="D4" s="1739" t="str">
        <f>IF('Copy &amp; Paste'!D77="","",'Copy &amp; Paste'!D77)</f>
        <v/>
      </c>
      <c r="E4" s="1739" t="str">
        <f>IF('Copy &amp; Paste'!E77="","",'Copy &amp; Paste'!E77)</f>
        <v/>
      </c>
      <c r="F4" s="1740" t="e">
        <f>IF(D4=0,"",E4/D4-1)</f>
        <v>#VALUE!</v>
      </c>
      <c r="G4" s="1739" t="str">
        <f>IF('Copy &amp; Paste'!F77="","",'Copy &amp; Paste'!F77)</f>
        <v/>
      </c>
      <c r="H4" s="1741" t="e">
        <f>IF(E4=0,"",G4/E4-1)</f>
        <v>#VALUE!</v>
      </c>
    </row>
    <row r="5" spans="1:11" s="402" customFormat="1" ht="19.5" customHeight="1" thickBot="1">
      <c r="A5" s="1736">
        <f>A4+1</f>
        <v>48</v>
      </c>
      <c r="B5" s="1742" t="s">
        <v>41</v>
      </c>
      <c r="C5" s="1743" t="s">
        <v>40</v>
      </c>
      <c r="D5" s="1744" t="str">
        <f>IF('Copy &amp; Paste'!D78="","",'Copy &amp; Paste'!D78)</f>
        <v/>
      </c>
      <c r="E5" s="1744" t="str">
        <f>IF('Copy &amp; Paste'!E78="","",'Copy &amp; Paste'!E78)</f>
        <v/>
      </c>
      <c r="F5" s="1745" t="e">
        <f>IF(D5=0,"",E5/D5-1)</f>
        <v>#VALUE!</v>
      </c>
      <c r="G5" s="1744" t="str">
        <f>IF('Copy &amp; Paste'!F78="","",'Copy &amp; Paste'!F78)</f>
        <v/>
      </c>
      <c r="H5" s="1746" t="e">
        <f>IF(E5=0,"",G5/E5-1)</f>
        <v>#VALUE!</v>
      </c>
    </row>
    <row r="6" spans="1:11" s="402" customFormat="1" ht="19.5" customHeight="1">
      <c r="A6" s="1736">
        <f t="shared" ref="A6:A14" si="0">A5+1</f>
        <v>49</v>
      </c>
      <c r="B6" s="1747" t="s">
        <v>42</v>
      </c>
      <c r="C6" s="1748" t="s">
        <v>40</v>
      </c>
      <c r="D6" s="1749">
        <f>SUM(D4:D5)</f>
        <v>0</v>
      </c>
      <c r="E6" s="1750">
        <f>SUM(E4:E5)</f>
        <v>0</v>
      </c>
      <c r="F6" s="1751" t="e">
        <f>IF(D6="","",E6/D6-1)</f>
        <v>#DIV/0!</v>
      </c>
      <c r="G6" s="1750">
        <f>SUM(G4:G5)</f>
        <v>0</v>
      </c>
      <c r="H6" s="1752" t="e">
        <f>IF(E6="","",G6/E6-1)</f>
        <v>#DIV/0!</v>
      </c>
    </row>
    <row r="7" spans="1:11" s="402" customFormat="1" ht="19.5" customHeight="1">
      <c r="A7" s="1736">
        <f t="shared" si="0"/>
        <v>50</v>
      </c>
      <c r="B7" s="1747" t="s">
        <v>1008</v>
      </c>
      <c r="C7" s="1753" t="s">
        <v>43</v>
      </c>
      <c r="D7" s="1754" t="str">
        <f>IF('Copy &amp; Paste'!D79="","",'Copy &amp; Paste'!D79)</f>
        <v/>
      </c>
      <c r="E7" s="1754" t="str">
        <f>IF('Copy &amp; Paste'!E79="","",'Copy &amp; Paste'!E79)</f>
        <v/>
      </c>
      <c r="F7" s="1755" t="e">
        <f>IF(OR(ISBLANK(D7),ISBLANK(E7)),"",E7/D7-1)</f>
        <v>#VALUE!</v>
      </c>
      <c r="G7" s="1754" t="str">
        <f>IF('Copy &amp; Paste'!F79="","",'Copy &amp; Paste'!F79)</f>
        <v/>
      </c>
      <c r="H7" s="1756" t="e">
        <f>IF(ISBLANK(G7),"",G7/IF(ISBLANK(E7),D7,E7)-1)</f>
        <v>#VALUE!</v>
      </c>
    </row>
    <row r="8" spans="1:11" s="402" customFormat="1" ht="19.5" customHeight="1" thickBot="1">
      <c r="A8" s="1736">
        <f t="shared" si="0"/>
        <v>51</v>
      </c>
      <c r="B8" s="1757" t="s">
        <v>44</v>
      </c>
      <c r="C8" s="1758" t="s">
        <v>45</v>
      </c>
      <c r="D8" s="1759" t="str">
        <f>IF(D7="","",D7/D6)</f>
        <v/>
      </c>
      <c r="E8" s="1760" t="str">
        <f>IF(E7="","",E7/E6)</f>
        <v/>
      </c>
      <c r="F8" s="1761" t="e">
        <f>IF(OR(ISBLANK(D7),ISBLANK(E7)),"",E8/D8-1)</f>
        <v>#VALUE!</v>
      </c>
      <c r="G8" s="1759">
        <f>IF(OR(G7="",G7=0),0,G7/G6)</f>
        <v>0</v>
      </c>
      <c r="H8" s="1762" t="e">
        <f>IF(ISBLANK(G7),"",G8/IF(ISBLANK(E7),D8,E8)-1)</f>
        <v>#VALUE!</v>
      </c>
    </row>
    <row r="9" spans="1:11" s="402" customFormat="1" ht="9" customHeight="1" thickBot="1">
      <c r="A9" s="1736"/>
      <c r="B9" s="1763"/>
      <c r="C9" s="1764"/>
      <c r="D9" s="1765"/>
      <c r="E9" s="1766"/>
      <c r="F9" s="1767"/>
      <c r="G9" s="1766"/>
      <c r="H9" s="1768"/>
    </row>
    <row r="10" spans="1:11" s="402" customFormat="1" ht="19.5" customHeight="1">
      <c r="A10" s="1736">
        <f>A8+1</f>
        <v>52</v>
      </c>
      <c r="B10" s="1737" t="s">
        <v>46</v>
      </c>
      <c r="C10" s="1738" t="s">
        <v>40</v>
      </c>
      <c r="D10" s="1739" t="str">
        <f>IF('Copy &amp; Paste'!D80="","",'Copy &amp; Paste'!D80)</f>
        <v/>
      </c>
      <c r="E10" s="1739" t="str">
        <f>IF('Copy &amp; Paste'!E80="","",'Copy &amp; Paste'!E80)</f>
        <v/>
      </c>
      <c r="F10" s="1740" t="e">
        <f>IF(D10=0,"",E10/D10-1)</f>
        <v>#VALUE!</v>
      </c>
      <c r="G10" s="1739" t="str">
        <f>IF('Copy &amp; Paste'!F80="","",'Copy &amp; Paste'!F80)</f>
        <v/>
      </c>
      <c r="H10" s="1741" t="e">
        <f>IF(E10=0,"",G10/E10-1)</f>
        <v>#VALUE!</v>
      </c>
    </row>
    <row r="11" spans="1:11" s="402" customFormat="1" ht="19.5" customHeight="1" thickBot="1">
      <c r="A11" s="1736">
        <f t="shared" si="0"/>
        <v>53</v>
      </c>
      <c r="B11" s="1769" t="s">
        <v>47</v>
      </c>
      <c r="C11" s="1743" t="s">
        <v>40</v>
      </c>
      <c r="D11" s="1744" t="str">
        <f>IF('Copy &amp; Paste'!D81="","",'Copy &amp; Paste'!D81)</f>
        <v/>
      </c>
      <c r="E11" s="1744" t="str">
        <f>IF('Copy &amp; Paste'!E81="","",'Copy &amp; Paste'!E81)</f>
        <v/>
      </c>
      <c r="F11" s="1745" t="e">
        <f>IF(D11=0,"",E11/D11-1)</f>
        <v>#VALUE!</v>
      </c>
      <c r="G11" s="1744" t="str">
        <f>IF('Copy &amp; Paste'!F81="","",'Copy &amp; Paste'!F81)</f>
        <v/>
      </c>
      <c r="H11" s="1746" t="e">
        <f>IF(E11=0,"",G11/E11-1)</f>
        <v>#VALUE!</v>
      </c>
    </row>
    <row r="12" spans="1:11" s="402" customFormat="1" ht="19.5" customHeight="1">
      <c r="A12" s="1736">
        <f t="shared" si="0"/>
        <v>54</v>
      </c>
      <c r="B12" s="1770" t="s">
        <v>1006</v>
      </c>
      <c r="C12" s="1771" t="s">
        <v>40</v>
      </c>
      <c r="D12" s="805">
        <f>SUM(D10:D11)</f>
        <v>0</v>
      </c>
      <c r="E12" s="805">
        <f>SUM(E10:E11)</f>
        <v>0</v>
      </c>
      <c r="F12" s="1772" t="e">
        <f>IF(D12="","",E12/D12-1)</f>
        <v>#DIV/0!</v>
      </c>
      <c r="G12" s="805">
        <f>SUM(G10:G11)</f>
        <v>0</v>
      </c>
      <c r="H12" s="1773" t="e">
        <f>IF(E12="","",G12/E12-1)</f>
        <v>#DIV/0!</v>
      </c>
    </row>
    <row r="13" spans="1:11" s="402" customFormat="1" ht="19.5" customHeight="1">
      <c r="A13" s="1736">
        <f t="shared" si="0"/>
        <v>55</v>
      </c>
      <c r="B13" s="1747" t="s">
        <v>48</v>
      </c>
      <c r="C13" s="1774" t="s">
        <v>43</v>
      </c>
      <c r="D13" s="1754" t="str">
        <f>IF('Copy &amp; Paste'!D82="","",'Copy &amp; Paste'!D82)</f>
        <v/>
      </c>
      <c r="E13" s="1754" t="str">
        <f>IF('Copy &amp; Paste'!E82="","",'Copy &amp; Paste'!E82)</f>
        <v/>
      </c>
      <c r="F13" s="1755" t="e">
        <f>IF(OR(ISBLANK(D13),ISBLANK(E13)),"",E13/D13-1)</f>
        <v>#VALUE!</v>
      </c>
      <c r="G13" s="1754" t="str">
        <f>IF('Copy &amp; Paste'!F82="","",'Copy &amp; Paste'!F82)</f>
        <v/>
      </c>
      <c r="H13" s="1756" t="e">
        <f>IF(ISBLANK(G13),"",G13/IF(ISBLANK(E13),D13,E13)-1)</f>
        <v>#VALUE!</v>
      </c>
    </row>
    <row r="14" spans="1:11" s="402" customFormat="1" ht="19.5" customHeight="1" thickBot="1">
      <c r="A14" s="1736">
        <f t="shared" si="0"/>
        <v>56</v>
      </c>
      <c r="B14" s="1775" t="s">
        <v>49</v>
      </c>
      <c r="C14" s="1758" t="s">
        <v>45</v>
      </c>
      <c r="D14" s="1759" t="str">
        <f>IF(D13="","",D13/D12)</f>
        <v/>
      </c>
      <c r="E14" s="1760" t="str">
        <f>IF(E13="","",E13/E12)</f>
        <v/>
      </c>
      <c r="F14" s="1761" t="e">
        <f>IF(OR(ISBLANK(D13),ISBLANK(E13)),"",E14/D14-1)</f>
        <v>#VALUE!</v>
      </c>
      <c r="G14" s="1759">
        <f>IF(OR(G13="",G13=0),0,G13/G12)</f>
        <v>0</v>
      </c>
      <c r="H14" s="1762" t="e">
        <f>IF(ISBLANK(G13),"",G14/IF(ISBLANK(E13),D14,E14)-1)</f>
        <v>#VALUE!</v>
      </c>
    </row>
    <row r="15" spans="1:11" s="402" customFormat="1" ht="12" customHeight="1" thickBot="1">
      <c r="A15" s="1736"/>
      <c r="B15" s="1776"/>
      <c r="C15" s="1777"/>
      <c r="D15" s="1778"/>
      <c r="E15" s="1778"/>
      <c r="F15" s="1767"/>
      <c r="G15" s="1778"/>
      <c r="H15" s="3254"/>
      <c r="I15" s="3253"/>
    </row>
    <row r="16" spans="1:11" s="402" customFormat="1" ht="19.5" customHeight="1">
      <c r="A16" s="1736">
        <f>A14+1</f>
        <v>57</v>
      </c>
      <c r="B16" s="4341" t="s">
        <v>2443</v>
      </c>
      <c r="C16" s="1748" t="s">
        <v>40</v>
      </c>
      <c r="D16" s="3654" t="str">
        <f>IF('Copy &amp; Paste'!D83="","",'Copy &amp; Paste'!D83)</f>
        <v/>
      </c>
      <c r="E16" s="3654" t="str">
        <f>IF('Copy &amp; Paste'!E83="","",'Copy &amp; Paste'!E83)</f>
        <v/>
      </c>
      <c r="F16" s="4017" t="e">
        <f t="shared" ref="F16:F23" si="1">IF(D16=0,"",E16/D16-1)</f>
        <v>#VALUE!</v>
      </c>
      <c r="G16" s="3654" t="str">
        <f>IF('Copy &amp; Paste'!F83="","",'Copy &amp; Paste'!F83)</f>
        <v/>
      </c>
      <c r="H16" s="4018" t="e">
        <f t="shared" ref="H16:H23" si="2">IF(E16=0,"",G16/E16-1)</f>
        <v>#VALUE!</v>
      </c>
      <c r="I16" s="3774"/>
      <c r="J16" s="4340"/>
      <c r="K16" s="4340"/>
    </row>
    <row r="17" spans="1:11" s="402" customFormat="1" ht="19.5" customHeight="1">
      <c r="A17" s="1736">
        <v>58</v>
      </c>
      <c r="B17" s="4342"/>
      <c r="C17" s="1753" t="s">
        <v>45</v>
      </c>
      <c r="D17" s="4016" t="str">
        <f>IF('Copy &amp; Paste'!D83="","",'Copy &amp; Paste'!D84/'Copy &amp; Paste'!D83)</f>
        <v/>
      </c>
      <c r="E17" s="4016" t="str">
        <f>IF('Copy &amp; Paste'!E83="","",'Copy &amp; Paste'!E84/'Copy &amp; Paste'!E83)</f>
        <v/>
      </c>
      <c r="F17" s="4015" t="e">
        <f t="shared" si="1"/>
        <v>#VALUE!</v>
      </c>
      <c r="G17" s="4016" t="str">
        <f>IF('Copy &amp; Paste'!F83="","",'Copy &amp; Paste'!F84/'Copy &amp; Paste'!F83)</f>
        <v/>
      </c>
      <c r="H17" s="4019" t="e">
        <f t="shared" si="2"/>
        <v>#VALUE!</v>
      </c>
      <c r="I17" s="3774"/>
      <c r="J17" s="3775"/>
      <c r="K17" s="3775"/>
    </row>
    <row r="18" spans="1:11" s="402" customFormat="1" ht="19.5" customHeight="1">
      <c r="A18" s="1736">
        <v>60</v>
      </c>
      <c r="B18" s="4342" t="s">
        <v>2341</v>
      </c>
      <c r="C18" s="1753" t="s">
        <v>40</v>
      </c>
      <c r="D18" s="4014" t="str">
        <f>IF('Copy &amp; Paste'!D85="","",'Copy &amp; Paste'!D85)</f>
        <v/>
      </c>
      <c r="E18" s="4014" t="str">
        <f>IF('Copy &amp; Paste'!E85="","",'Copy &amp; Paste'!E85)</f>
        <v/>
      </c>
      <c r="F18" s="715" t="e">
        <f t="shared" si="1"/>
        <v>#VALUE!</v>
      </c>
      <c r="G18" s="4014" t="str">
        <f>IF('Copy &amp; Paste'!F85="","",'Copy &amp; Paste'!F85)</f>
        <v/>
      </c>
      <c r="H18" s="1806" t="e">
        <f t="shared" si="2"/>
        <v>#VALUE!</v>
      </c>
      <c r="I18" s="3774"/>
      <c r="J18" s="3775"/>
      <c r="K18" s="3775"/>
    </row>
    <row r="19" spans="1:11" s="402" customFormat="1" ht="19.5" customHeight="1">
      <c r="A19" s="1736">
        <v>61</v>
      </c>
      <c r="B19" s="4342"/>
      <c r="C19" s="1753" t="s">
        <v>45</v>
      </c>
      <c r="D19" s="4016" t="str">
        <f>IF('Copy &amp; Paste'!D85="","",'Copy &amp; Paste'!D86/'Copy &amp; Paste'!D85)</f>
        <v/>
      </c>
      <c r="E19" s="4016" t="str">
        <f>IF('Copy &amp; Paste'!E85="","",'Copy &amp; Paste'!E86/'Copy &amp; Paste'!E85)</f>
        <v/>
      </c>
      <c r="F19" s="715" t="e">
        <f t="shared" si="1"/>
        <v>#VALUE!</v>
      </c>
      <c r="G19" s="4016" t="str">
        <f>IF('Copy &amp; Paste'!F85="","",'Copy &amp; Paste'!F86/'Copy &amp; Paste'!F85)</f>
        <v/>
      </c>
      <c r="H19" s="1806" t="e">
        <f t="shared" si="2"/>
        <v>#VALUE!</v>
      </c>
      <c r="I19" s="3774"/>
      <c r="J19" s="3775"/>
      <c r="K19" s="3775"/>
    </row>
    <row r="20" spans="1:11" s="402" customFormat="1" ht="19.5" customHeight="1">
      <c r="A20" s="1736">
        <v>62</v>
      </c>
      <c r="B20" s="4342" t="s">
        <v>2342</v>
      </c>
      <c r="C20" s="1753" t="s">
        <v>40</v>
      </c>
      <c r="D20" s="4014" t="str">
        <f>IF('Copy &amp; Paste'!D87="","",'Copy &amp; Paste'!D87)</f>
        <v/>
      </c>
      <c r="E20" s="4014" t="str">
        <f>IF('Copy &amp; Paste'!E87="","",'Copy &amp; Paste'!E87)</f>
        <v/>
      </c>
      <c r="F20" s="715" t="e">
        <f t="shared" si="1"/>
        <v>#VALUE!</v>
      </c>
      <c r="G20" s="4014" t="str">
        <f>IF('Copy &amp; Paste'!F87="","",'Copy &amp; Paste'!F87)</f>
        <v/>
      </c>
      <c r="H20" s="1806" t="e">
        <f t="shared" si="2"/>
        <v>#VALUE!</v>
      </c>
      <c r="I20" s="3774"/>
      <c r="J20" s="3775"/>
      <c r="K20" s="3775"/>
    </row>
    <row r="21" spans="1:11" s="402" customFormat="1" ht="19.5" customHeight="1">
      <c r="A21" s="1736">
        <v>63</v>
      </c>
      <c r="B21" s="4342"/>
      <c r="C21" s="1753" t="s">
        <v>45</v>
      </c>
      <c r="D21" s="4016" t="str">
        <f>IF('Copy &amp; Paste'!D87="","",'Copy &amp; Paste'!D88/'Copy &amp; Paste'!D87)</f>
        <v/>
      </c>
      <c r="E21" s="4016" t="str">
        <f>IF('Copy &amp; Paste'!E87="","",'Copy &amp; Paste'!E88/'Copy &amp; Paste'!E87)</f>
        <v/>
      </c>
      <c r="F21" s="715" t="e">
        <f t="shared" si="1"/>
        <v>#VALUE!</v>
      </c>
      <c r="G21" s="4016" t="str">
        <f>IF('Copy &amp; Paste'!F87="","",'Copy &amp; Paste'!F88/'Copy &amp; Paste'!F87)</f>
        <v/>
      </c>
      <c r="H21" s="1806" t="e">
        <f t="shared" si="2"/>
        <v>#VALUE!</v>
      </c>
      <c r="I21" s="3774"/>
      <c r="J21" s="3775"/>
      <c r="K21" s="3775"/>
    </row>
    <row r="22" spans="1:11" s="402" customFormat="1" ht="19.5" customHeight="1">
      <c r="A22" s="1736">
        <f t="shared" ref="A22" si="3">A20+1</f>
        <v>63</v>
      </c>
      <c r="B22" s="4342" t="s">
        <v>2353</v>
      </c>
      <c r="C22" s="1753" t="s">
        <v>40</v>
      </c>
      <c r="D22" s="4014" t="str">
        <f>IF('Copy &amp; Paste'!D89="","",'Copy &amp; Paste'!D89)</f>
        <v/>
      </c>
      <c r="E22" s="4014" t="str">
        <f>IF('Copy &amp; Paste'!E89="","",'Copy &amp; Paste'!E89)</f>
        <v/>
      </c>
      <c r="F22" s="715" t="e">
        <f t="shared" si="1"/>
        <v>#VALUE!</v>
      </c>
      <c r="G22" s="4014" t="str">
        <f>IF('Copy &amp; Paste'!F89="","",'Copy &amp; Paste'!F89)</f>
        <v/>
      </c>
      <c r="H22" s="1806" t="e">
        <f t="shared" si="2"/>
        <v>#VALUE!</v>
      </c>
      <c r="I22" s="3774"/>
      <c r="J22" s="3775"/>
      <c r="K22" s="3775"/>
    </row>
    <row r="23" spans="1:11" s="402" customFormat="1" ht="19.5" customHeight="1" thickBot="1">
      <c r="A23" s="1736">
        <v>64</v>
      </c>
      <c r="B23" s="4342"/>
      <c r="C23" s="4020" t="s">
        <v>45</v>
      </c>
      <c r="D23" s="4021" t="str">
        <f>IF('Copy &amp; Paste'!D89="","",'Copy &amp; Paste'!D90/'Copy &amp; Paste'!D89)</f>
        <v/>
      </c>
      <c r="E23" s="4021" t="str">
        <f>IF('Copy &amp; Paste'!E89="","",'Copy &amp; Paste'!E90/'Copy &amp; Paste'!E89)</f>
        <v/>
      </c>
      <c r="F23" s="736" t="e">
        <f t="shared" si="1"/>
        <v>#VALUE!</v>
      </c>
      <c r="G23" s="4021" t="str">
        <f>IF('Copy &amp; Paste'!F89="","",'Copy &amp; Paste'!F90/'Copy &amp; Paste'!F89)</f>
        <v/>
      </c>
      <c r="H23" s="4022" t="e">
        <f t="shared" si="2"/>
        <v>#VALUE!</v>
      </c>
      <c r="I23" s="3774"/>
      <c r="J23" s="3775"/>
      <c r="K23" s="3775"/>
    </row>
    <row r="24" spans="1:11" s="402" customFormat="1" ht="19.5" customHeight="1">
      <c r="A24" s="1736">
        <v>65</v>
      </c>
      <c r="B24" s="1747" t="s">
        <v>50</v>
      </c>
      <c r="C24" s="1771" t="s">
        <v>40</v>
      </c>
      <c r="D24" s="805">
        <f>SUM(D16,D18,D20,D22)</f>
        <v>0</v>
      </c>
      <c r="E24" s="805">
        <f>SUM(E16,E18,E20,E22)</f>
        <v>0</v>
      </c>
      <c r="F24" s="1772" t="e">
        <f>IF(D24="","",E24/D24-1)</f>
        <v>#DIV/0!</v>
      </c>
      <c r="G24" s="805">
        <f>SUM(G16,G18,G20,G22)</f>
        <v>0</v>
      </c>
      <c r="H24" s="1773" t="e">
        <f>IF(E24="","",G24/E24-1)</f>
        <v>#DIV/0!</v>
      </c>
    </row>
    <row r="25" spans="1:11" s="402" customFormat="1" ht="19.5" customHeight="1">
      <c r="A25" s="1736">
        <v>66</v>
      </c>
      <c r="B25" s="1747" t="s">
        <v>51</v>
      </c>
      <c r="C25" s="1771" t="s">
        <v>43</v>
      </c>
      <c r="D25" s="1754">
        <f>SUM('Copy &amp; Paste'!D84,'Copy &amp; Paste'!D86,'Copy &amp; Paste'!D88,'Copy &amp; Paste'!D90)</f>
        <v>0</v>
      </c>
      <c r="E25" s="1754">
        <f>SUM('Copy &amp; Paste'!E84,'Copy &amp; Paste'!E86,'Copy &amp; Paste'!E88,'Copy &amp; Paste'!E90)</f>
        <v>0</v>
      </c>
      <c r="F25" s="1772" t="e">
        <f>IF(OR(ISBLANK(D25),ISBLANK(E25)),"",E25/D25-1)</f>
        <v>#DIV/0!</v>
      </c>
      <c r="G25" s="1754">
        <f>SUM('Copy &amp; Paste'!F84,'Copy &amp; Paste'!F86,'Copy &amp; Paste'!F88,'Copy &amp; Paste'!F90)</f>
        <v>0</v>
      </c>
      <c r="H25" s="1756" t="e">
        <f>IF(ISBLANK(G25),"",G25/IF(ISBLANK(E25),D25,E25)-1)</f>
        <v>#DIV/0!</v>
      </c>
    </row>
    <row r="26" spans="1:11" s="402" customFormat="1" ht="19.5" customHeight="1" thickBot="1">
      <c r="A26" s="1736">
        <f t="shared" ref="A26" si="4">A24+1</f>
        <v>66</v>
      </c>
      <c r="B26" s="1757"/>
      <c r="C26" s="1758" t="s">
        <v>45</v>
      </c>
      <c r="D26" s="1759" t="e">
        <f>IF(D25="","",D25/D24)</f>
        <v>#DIV/0!</v>
      </c>
      <c r="E26" s="1759" t="e">
        <f>IF(E25="","",E25/E24)</f>
        <v>#DIV/0!</v>
      </c>
      <c r="F26" s="1761" t="e">
        <f>IF(OR(ISBLANK(D25),ISBLANK(E25)),"",E26/D26-1)</f>
        <v>#DIV/0!</v>
      </c>
      <c r="G26" s="1759">
        <f>IF(OR(G25="",G25=0),0,G25/G24)</f>
        <v>0</v>
      </c>
      <c r="H26" s="1762" t="e">
        <f>IF(ISBLANK(G25),"",G26/IF(ISBLANK(E25),D26,E26)-1)</f>
        <v>#DIV/0!</v>
      </c>
    </row>
    <row r="27" spans="1:11" s="402" customFormat="1" ht="9" customHeight="1" thickBot="1">
      <c r="A27" s="1736"/>
      <c r="B27" s="1787"/>
      <c r="C27" s="1787"/>
      <c r="D27" s="1788"/>
      <c r="E27" s="1788"/>
      <c r="F27" s="1788"/>
      <c r="G27" s="1788"/>
      <c r="H27" s="1789"/>
    </row>
    <row r="28" spans="1:11" s="402" customFormat="1" ht="19.5" customHeight="1">
      <c r="A28" s="1736">
        <f>A26+1</f>
        <v>67</v>
      </c>
      <c r="B28" s="1737" t="s">
        <v>52</v>
      </c>
      <c r="C28" s="1738" t="s">
        <v>40</v>
      </c>
      <c r="D28" s="1739" t="str">
        <f>IF('Copy &amp; Paste'!D93="","",'Copy &amp; Paste'!D93)</f>
        <v/>
      </c>
      <c r="E28" s="1739" t="str">
        <f>IF('Copy &amp; Paste'!E93="","",'Copy &amp; Paste'!E93)</f>
        <v/>
      </c>
      <c r="F28" s="1779" t="e">
        <f>IF(D28=0,"",E28/D28-1)</f>
        <v>#VALUE!</v>
      </c>
      <c r="G28" s="1780" t="str">
        <f>IF('Copy &amp; Paste'!F93="","",'Copy &amp; Paste'!F93)</f>
        <v/>
      </c>
      <c r="H28" s="1741" t="e">
        <f>IF(E28=0,"",G28/E28-1)</f>
        <v>#VALUE!</v>
      </c>
    </row>
    <row r="29" spans="1:11" s="402" customFormat="1" ht="19.5" customHeight="1">
      <c r="A29" s="1736">
        <f>A28+1</f>
        <v>68</v>
      </c>
      <c r="B29" s="1742" t="s">
        <v>53</v>
      </c>
      <c r="C29" s="1771" t="s">
        <v>40</v>
      </c>
      <c r="D29" s="1781" t="str">
        <f>IF('Copy &amp; Paste'!D94="","",'Copy &amp; Paste'!D94)</f>
        <v/>
      </c>
      <c r="E29" s="1790" t="str">
        <f>IF('Copy &amp; Paste'!E94="","",'Copy &amp; Paste'!E94)</f>
        <v/>
      </c>
      <c r="F29" s="1782" t="e">
        <f>IF(D29=0,"",E29/D29-1)</f>
        <v>#VALUE!</v>
      </c>
      <c r="G29" s="1783" t="str">
        <f>IF('Copy &amp; Paste'!F94="","",'Copy &amp; Paste'!F94)</f>
        <v/>
      </c>
      <c r="H29" s="1756" t="e">
        <f>IF(E29=0,"",G29/E29-1)</f>
        <v>#VALUE!</v>
      </c>
    </row>
    <row r="30" spans="1:11" s="402" customFormat="1" ht="19.5" customHeight="1" thickBot="1">
      <c r="A30" s="1736">
        <f>A29+1</f>
        <v>69</v>
      </c>
      <c r="B30" s="1742" t="s">
        <v>54</v>
      </c>
      <c r="C30" s="1743" t="s">
        <v>40</v>
      </c>
      <c r="D30" s="1744" t="str">
        <f>IF('Copy &amp; Paste'!D95="","",'Copy &amp; Paste'!D95)</f>
        <v/>
      </c>
      <c r="E30" s="1744" t="str">
        <f>IF('Copy &amp; Paste'!E95="","",'Copy &amp; Paste'!E95)</f>
        <v/>
      </c>
      <c r="F30" s="1784" t="e">
        <f>IF(D30=0,"",E30/D30-1)</f>
        <v>#VALUE!</v>
      </c>
      <c r="G30" s="1785" t="str">
        <f>IF('Copy &amp; Paste'!F95="","",'Copy &amp; Paste'!F95)</f>
        <v/>
      </c>
      <c r="H30" s="1746" t="e">
        <f>IF(E30=0,"",G30/E30-1)</f>
        <v>#VALUE!</v>
      </c>
    </row>
    <row r="31" spans="1:11" s="402" customFormat="1" ht="19.5" customHeight="1">
      <c r="A31" s="1736">
        <f>A30+1</f>
        <v>70</v>
      </c>
      <c r="B31" s="1770" t="s">
        <v>55</v>
      </c>
      <c r="C31" s="1771" t="s">
        <v>40</v>
      </c>
      <c r="D31" s="805">
        <f>SUM(D28:D30)</f>
        <v>0</v>
      </c>
      <c r="E31" s="805">
        <f>SUM(E28:E30)</f>
        <v>0</v>
      </c>
      <c r="F31" s="1772" t="e">
        <f>IF(D31="","",E31/D31-1)</f>
        <v>#DIV/0!</v>
      </c>
      <c r="G31" s="805">
        <f>SUM(G28:G30)</f>
        <v>0</v>
      </c>
      <c r="H31" s="1773" t="e">
        <f>IF(E31="","",G31/E31-1)</f>
        <v>#DIV/0!</v>
      </c>
    </row>
    <row r="32" spans="1:11" ht="19.5" customHeight="1">
      <c r="A32" s="1736">
        <f>A31+1</f>
        <v>71</v>
      </c>
      <c r="B32" s="1770" t="s">
        <v>56</v>
      </c>
      <c r="C32" s="1774" t="s">
        <v>43</v>
      </c>
      <c r="D32" s="1754" t="str">
        <f>IF('Copy &amp; Paste'!D96="","",'Copy &amp; Paste'!D96)</f>
        <v/>
      </c>
      <c r="E32" s="1754" t="str">
        <f>IF('Copy &amp; Paste'!E96="","",'Copy &amp; Paste'!E96)</f>
        <v/>
      </c>
      <c r="F32" s="1772" t="e">
        <f>IF(OR(ISBLANK(D32),ISBLANK(E32)),"",E32/D32-1)</f>
        <v>#VALUE!</v>
      </c>
      <c r="G32" s="1754" t="str">
        <f>IF('Copy &amp; Paste'!F96="","",'Copy &amp; Paste'!F96)</f>
        <v/>
      </c>
      <c r="H32" s="1756" t="e">
        <f>IF(ISBLANK(G32),"",G32/IF(ISBLANK(E32),D32,E32)-1)</f>
        <v>#VALUE!</v>
      </c>
    </row>
    <row r="33" spans="1:8" ht="19.5" customHeight="1" thickBot="1">
      <c r="A33" s="1736">
        <f>A32+1</f>
        <v>72</v>
      </c>
      <c r="B33" s="1757"/>
      <c r="C33" s="1758" t="s">
        <v>45</v>
      </c>
      <c r="D33" s="1759" t="str">
        <f>IF(D32="","",D32/D31)</f>
        <v/>
      </c>
      <c r="E33" s="1759" t="str">
        <f>IF(E32="","",E32/E31)</f>
        <v/>
      </c>
      <c r="F33" s="1761" t="e">
        <f>IF(OR(ISBLANK(D32),ISBLANK(E32)),"",E33/D33-1)</f>
        <v>#VALUE!</v>
      </c>
      <c r="G33" s="1759">
        <f>IF(OR(G32="",G32=0),0,G32/G31)</f>
        <v>0</v>
      </c>
      <c r="H33" s="1762" t="e">
        <f>IF(ISBLANK(G32),"",G33/IF(ISBLANK(E32),D33,E33)-1)</f>
        <v>#VALUE!</v>
      </c>
    </row>
    <row r="34" spans="1:8" s="402" customFormat="1" ht="9" customHeight="1" thickBot="1">
      <c r="A34" s="1736"/>
      <c r="B34" s="1776"/>
      <c r="C34" s="1777"/>
      <c r="D34" s="1778"/>
      <c r="E34" s="1791"/>
      <c r="F34" s="1767"/>
      <c r="G34" s="1791"/>
      <c r="H34" s="1768"/>
    </row>
    <row r="35" spans="1:8" s="402" customFormat="1" ht="19.5" customHeight="1">
      <c r="A35" s="1736"/>
      <c r="B35" s="4333" t="s">
        <v>1812</v>
      </c>
      <c r="C35" s="1748" t="s">
        <v>40</v>
      </c>
      <c r="D35" s="3654" t="str">
        <f>IF('Copy &amp; Paste'!D91="","",'Copy &amp; Paste'!D91)</f>
        <v/>
      </c>
      <c r="E35" s="3654" t="str">
        <f>IF('Copy &amp; Paste'!E91="","",'Copy &amp; Paste'!E91)</f>
        <v/>
      </c>
      <c r="F35" s="1779" t="e">
        <f>IF(D35=0,"",E35/D35-1)</f>
        <v>#VALUE!</v>
      </c>
      <c r="G35" s="1792" t="str">
        <f>IF('Copy &amp; Paste'!F91="","",'Copy &amp; Paste'!F91)</f>
        <v/>
      </c>
      <c r="H35" s="1741" t="e">
        <f>IF(E35=0,"",G35/E35-1)</f>
        <v>#VALUE!</v>
      </c>
    </row>
    <row r="36" spans="1:8" s="402" customFormat="1" ht="19.5" customHeight="1">
      <c r="A36" s="1736"/>
      <c r="B36" s="4334"/>
      <c r="C36" s="1793" t="s">
        <v>43</v>
      </c>
      <c r="D36" s="3655" t="str">
        <f>IF('Copy &amp; Paste'!D92="","",'Copy &amp; Paste'!D92)</f>
        <v/>
      </c>
      <c r="E36" s="3655" t="str">
        <f>IF('Copy &amp; Paste'!E92="","",'Copy &amp; Paste'!E92)</f>
        <v/>
      </c>
      <c r="F36" s="1782" t="e">
        <f>IF(OR(ISBLANK(D36),ISBLANK(E36)),"",E36/D36-1)</f>
        <v>#VALUE!</v>
      </c>
      <c r="G36" s="1794" t="str">
        <f>IF('Copy &amp; Paste'!F92="","",'Copy &amp; Paste'!F92)</f>
        <v/>
      </c>
      <c r="H36" s="1756" t="e">
        <f>IF(ISBLANK(G36),"",G36/IF(ISBLANK(E36),D36,E36)-1)</f>
        <v>#VALUE!</v>
      </c>
    </row>
    <row r="37" spans="1:8" s="402" customFormat="1" ht="19.5" customHeight="1" thickBot="1">
      <c r="A37" s="1736"/>
      <c r="B37" s="4335"/>
      <c r="C37" s="1795" t="s">
        <v>45</v>
      </c>
      <c r="D37" s="1759" t="str">
        <f>IF(D36="","",D36/D35)</f>
        <v/>
      </c>
      <c r="E37" s="1759" t="str">
        <f>IF(E36="","",E36/E35)</f>
        <v/>
      </c>
      <c r="F37" s="1761" t="e">
        <f>IF(OR(ISBLANK(D36),ISBLANK(E36)),"",E37/D37-1)</f>
        <v>#VALUE!</v>
      </c>
      <c r="G37" s="1759">
        <f>IF(OR(G36="",G36=0),0,G36/G35)</f>
        <v>0</v>
      </c>
      <c r="H37" s="1762" t="e">
        <f>IF(ISBLANK(G36),"",G37/IF(ISBLANK(E36),D37,E37)-1)</f>
        <v>#VALUE!</v>
      </c>
    </row>
    <row r="38" spans="1:8" s="402" customFormat="1" ht="9" customHeight="1" thickBot="1">
      <c r="A38" s="1736"/>
      <c r="B38" s="1776"/>
      <c r="C38" s="1777"/>
      <c r="D38" s="1778"/>
      <c r="E38" s="1791"/>
      <c r="F38" s="1767"/>
      <c r="G38" s="1791"/>
      <c r="H38" s="1768"/>
    </row>
    <row r="39" spans="1:8" ht="19.5" customHeight="1">
      <c r="A39" s="1736">
        <f>A33+1</f>
        <v>73</v>
      </c>
      <c r="B39" s="4333" t="str">
        <f>'Copy &amp; Paste'!B97</f>
        <v>Sonstiges Personal wie z. B. Bundesfreiwilligendienst/Freiw. Soziales Jahr/Praktikanten</v>
      </c>
      <c r="C39" s="1738" t="s">
        <v>40</v>
      </c>
      <c r="D39" s="1780" t="str">
        <f>IF('Copy &amp; Paste'!D97="","",'Copy &amp; Paste'!D97)</f>
        <v/>
      </c>
      <c r="E39" s="1780" t="str">
        <f>IF('Copy &amp; Paste'!E97="","",'Copy &amp; Paste'!E97)</f>
        <v/>
      </c>
      <c r="F39" s="1779" t="e">
        <f>IF(D39=0,"",E39/D39-1)</f>
        <v>#VALUE!</v>
      </c>
      <c r="G39" s="1780" t="str">
        <f>IF('Copy &amp; Paste'!F97="","",'Copy &amp; Paste'!F97)</f>
        <v/>
      </c>
      <c r="H39" s="1741" t="e">
        <f>IF(E39=0,"",G39/E39-1)</f>
        <v>#VALUE!</v>
      </c>
    </row>
    <row r="40" spans="1:8" ht="19.5" customHeight="1">
      <c r="A40" s="1736">
        <f>A39+1</f>
        <v>74</v>
      </c>
      <c r="B40" s="4334"/>
      <c r="C40" s="1774" t="s">
        <v>43</v>
      </c>
      <c r="D40" s="1754" t="str">
        <f>IF('Copy &amp; Paste'!D98="","",'Copy &amp; Paste'!D98)</f>
        <v/>
      </c>
      <c r="E40" s="1754" t="str">
        <f>IF('Copy &amp; Paste'!E98="","",'Copy &amp; Paste'!E98)</f>
        <v/>
      </c>
      <c r="F40" s="1772" t="e">
        <f>IF(OR(ISBLANK(D40),ISBLANK(E40)),"",E40/D40-1)</f>
        <v>#VALUE!</v>
      </c>
      <c r="G40" s="1786" t="str">
        <f>IF('Copy &amp; Paste'!F98="","",'Copy &amp; Paste'!F98)</f>
        <v/>
      </c>
      <c r="H40" s="1756" t="e">
        <f>IF(ISBLANK(G40),"",G40/IF(ISBLANK(E40),D40,E40)-1)</f>
        <v>#VALUE!</v>
      </c>
    </row>
    <row r="41" spans="1:8" ht="19.5" customHeight="1" thickBot="1">
      <c r="A41" s="1736">
        <f>A40+1</f>
        <v>75</v>
      </c>
      <c r="B41" s="4335"/>
      <c r="C41" s="1758" t="s">
        <v>45</v>
      </c>
      <c r="D41" s="1759" t="str">
        <f>IF(D40="","",D40/D39)</f>
        <v/>
      </c>
      <c r="E41" s="1759" t="str">
        <f>IF(E40="","",E40/E39)</f>
        <v/>
      </c>
      <c r="F41" s="1761" t="e">
        <f>IF(OR(ISBLANK(D40),ISBLANK(E40)),"",E41/D41-1)</f>
        <v>#VALUE!</v>
      </c>
      <c r="G41" s="1759">
        <f>IF(OR(G40="",G40=0),0,G40/G39)</f>
        <v>0</v>
      </c>
      <c r="H41" s="1762" t="e">
        <f>IF(ISBLANK(G40),"",G41/IF(ISBLANK(E40),D41,E41)-1)</f>
        <v>#VALUE!</v>
      </c>
    </row>
    <row r="42" spans="1:8" ht="9" customHeight="1" thickBot="1">
      <c r="A42" s="1796"/>
      <c r="B42" s="402"/>
      <c r="C42" s="402"/>
      <c r="D42" s="402"/>
      <c r="E42" s="402"/>
      <c r="F42" s="1797"/>
      <c r="G42" s="402"/>
      <c r="H42" s="1798"/>
    </row>
    <row r="43" spans="1:8" ht="18.75" customHeight="1">
      <c r="A43" s="1799">
        <f>A41+1</f>
        <v>76</v>
      </c>
      <c r="B43" s="1800" t="s">
        <v>57</v>
      </c>
      <c r="C43" s="1801" t="s">
        <v>40</v>
      </c>
      <c r="D43" s="4002">
        <f>SUM(D4:D5,D10:D11,D24,D28:D30,D35,D39)</f>
        <v>0</v>
      </c>
      <c r="E43" s="4002">
        <f>SUM(E4:E5,E10:E11,E24,E28:E30,E35,E39)</f>
        <v>0</v>
      </c>
      <c r="F43" s="1802" t="e">
        <f>IF(D43="","",E43/D43-1)</f>
        <v>#DIV/0!</v>
      </c>
      <c r="G43" s="4002">
        <f>SUM(G4:G5,G10:G11,G24,G28:G30,G35,G39)</f>
        <v>0</v>
      </c>
      <c r="H43" s="1802" t="e">
        <f>IF(E43="","",G43/E43-1)</f>
        <v>#DIV/0!</v>
      </c>
    </row>
    <row r="44" spans="1:8" ht="18.75" customHeight="1">
      <c r="A44" s="1799">
        <f>A43+1</f>
        <v>77</v>
      </c>
      <c r="B44" s="1803" t="s">
        <v>58</v>
      </c>
      <c r="C44" s="1804" t="s">
        <v>43</v>
      </c>
      <c r="D44" s="1805">
        <f>IF(D7="",0,D7)+IF(D13="",0,D13)+IF(D25="",0,D25)+IF(D32="",0,D32)+IF(D36="",0,D36)+IF(D40="",0,D40)</f>
        <v>0</v>
      </c>
      <c r="E44" s="1805">
        <f>IF(E7="",0,E7)+IF(E13="",0,E13)+IF(E25="",0,E25)+IF(E32="",0,E32)+IF(E36="",0,E36)+IF(E40="",0,E40)</f>
        <v>0</v>
      </c>
      <c r="F44" s="1806" t="e">
        <f>IF(D44="","",E44/D44-1)</f>
        <v>#DIV/0!</v>
      </c>
      <c r="G44" s="1805">
        <f>IF(G7="",0,G7)+IF(G13="",0,G13)+IF(G25="",0,G25)+IF(G32="",0,G32)+IF(G36="",0,G36)+IF(G40="",0,G40)</f>
        <v>0</v>
      </c>
      <c r="H44" s="1806" t="e">
        <f>IF(E44="","",G44/E44-1)</f>
        <v>#DIV/0!</v>
      </c>
    </row>
    <row r="45" spans="1:8" ht="18.75" customHeight="1" thickBot="1">
      <c r="A45" s="1807">
        <f>A44+1</f>
        <v>78</v>
      </c>
      <c r="B45" s="1775"/>
      <c r="C45" s="1808" t="s">
        <v>45</v>
      </c>
      <c r="D45" s="1809" t="e">
        <f>IF(D44="","",D44/D43)</f>
        <v>#DIV/0!</v>
      </c>
      <c r="E45" s="1809" t="e">
        <f>IF(E44="","",E44/E43)</f>
        <v>#DIV/0!</v>
      </c>
      <c r="F45" s="1810" t="e">
        <f>IF(D45="","",E45/D45-1)</f>
        <v>#DIV/0!</v>
      </c>
      <c r="G45" s="1809" t="e">
        <f>IF(G44="","",G44/G43)</f>
        <v>#DIV/0!</v>
      </c>
      <c r="H45" s="1811" t="e">
        <f>IF(E45="","",G45/E45-1)</f>
        <v>#DIV/0!</v>
      </c>
    </row>
    <row r="48" spans="1:8" ht="20.100000000000001" customHeight="1">
      <c r="A48" s="1620"/>
      <c r="B48" s="1812" t="s">
        <v>892</v>
      </c>
      <c r="C48" s="1812"/>
      <c r="D48" s="1812"/>
      <c r="E48" s="1812"/>
      <c r="F48" s="1813"/>
      <c r="G48" s="1812"/>
      <c r="H48" s="1813"/>
    </row>
    <row r="49" spans="1:8" ht="20.100000000000001" customHeight="1">
      <c r="A49" s="1620"/>
      <c r="B49" s="1814"/>
      <c r="C49" s="1814"/>
      <c r="D49" s="1814"/>
      <c r="E49" s="1814"/>
      <c r="F49" s="1815"/>
      <c r="G49" s="1814"/>
      <c r="H49" s="1815"/>
    </row>
    <row r="50" spans="1:8" ht="20.100000000000001" customHeight="1">
      <c r="A50" s="1620"/>
      <c r="B50" s="1814"/>
      <c r="C50" s="1814"/>
      <c r="D50" s="1814"/>
      <c r="E50" s="1814"/>
      <c r="F50" s="1815"/>
      <c r="G50" s="1814"/>
      <c r="H50" s="1815"/>
    </row>
    <row r="51" spans="1:8" ht="20.100000000000001" customHeight="1">
      <c r="A51" s="1620"/>
      <c r="B51" s="1814"/>
      <c r="C51" s="1814"/>
      <c r="D51" s="1814"/>
      <c r="E51" s="1814"/>
      <c r="F51" s="1815"/>
      <c r="G51" s="1814"/>
      <c r="H51" s="1815"/>
    </row>
    <row r="52" spans="1:8" ht="20.100000000000001" customHeight="1">
      <c r="A52" s="1620"/>
      <c r="B52" s="1814"/>
      <c r="C52" s="1814"/>
      <c r="D52" s="1814"/>
      <c r="E52" s="1814"/>
      <c r="F52" s="1815"/>
      <c r="G52" s="1814"/>
      <c r="H52" s="1815"/>
    </row>
    <row r="53" spans="1:8" ht="20.100000000000001" customHeight="1">
      <c r="A53" s="1620"/>
      <c r="B53" s="1814"/>
      <c r="C53" s="1814"/>
      <c r="D53" s="1814"/>
      <c r="E53" s="1814"/>
      <c r="F53" s="1815"/>
      <c r="G53" s="1814"/>
      <c r="H53" s="1815"/>
    </row>
    <row r="54" spans="1:8" ht="20.100000000000001" customHeight="1">
      <c r="A54" s="1620"/>
      <c r="B54" s="1814"/>
      <c r="C54" s="1814"/>
      <c r="D54" s="1814"/>
      <c r="E54" s="1814"/>
      <c r="F54" s="1815"/>
      <c r="G54" s="1814"/>
      <c r="H54" s="1815"/>
    </row>
    <row r="55" spans="1:8" ht="20.100000000000001" customHeight="1">
      <c r="A55" s="1620"/>
      <c r="B55" s="1814"/>
      <c r="C55" s="1814"/>
      <c r="D55" s="1814"/>
      <c r="E55" s="1814"/>
      <c r="F55" s="1815"/>
      <c r="G55" s="1814"/>
      <c r="H55" s="1815"/>
    </row>
    <row r="56" spans="1:8" ht="20.100000000000001" customHeight="1">
      <c r="A56" s="1620"/>
      <c r="B56" s="1814"/>
      <c r="C56" s="1814"/>
      <c r="D56" s="1814"/>
      <c r="E56" s="1814"/>
      <c r="F56" s="1815"/>
      <c r="G56" s="1814"/>
      <c r="H56" s="1815"/>
    </row>
    <row r="57" spans="1:8" ht="20.100000000000001" customHeight="1">
      <c r="A57" s="1620"/>
      <c r="B57" s="1814"/>
      <c r="C57" s="1814"/>
      <c r="D57" s="1814"/>
      <c r="E57" s="1814"/>
      <c r="F57" s="1815"/>
      <c r="G57" s="1814"/>
      <c r="H57" s="1815"/>
    </row>
    <row r="58" spans="1:8" ht="20.100000000000001" customHeight="1">
      <c r="A58" s="1620"/>
      <c r="B58" s="1814"/>
      <c r="C58" s="1814"/>
      <c r="D58" s="1814"/>
      <c r="E58" s="1814"/>
      <c r="F58" s="1815"/>
      <c r="G58" s="1814"/>
      <c r="H58" s="1815"/>
    </row>
    <row r="59" spans="1:8" ht="20.100000000000001" customHeight="1">
      <c r="A59" s="1620"/>
      <c r="B59" s="1814"/>
      <c r="C59" s="1814"/>
      <c r="D59" s="1814"/>
      <c r="E59" s="1814"/>
      <c r="F59" s="1815"/>
      <c r="G59" s="1814"/>
      <c r="H59" s="1815"/>
    </row>
    <row r="60" spans="1:8" ht="20.100000000000001" customHeight="1">
      <c r="A60" s="1620"/>
      <c r="B60" s="1814"/>
      <c r="C60" s="1814"/>
      <c r="D60" s="1814"/>
      <c r="E60" s="1814"/>
      <c r="F60" s="1815"/>
      <c r="G60" s="1814"/>
      <c r="H60" s="1815"/>
    </row>
  </sheetData>
  <sheetProtection sheet="1"/>
  <mergeCells count="9">
    <mergeCell ref="B35:B37"/>
    <mergeCell ref="B39:B41"/>
    <mergeCell ref="G1:H1"/>
    <mergeCell ref="E1:F1"/>
    <mergeCell ref="J16:K16"/>
    <mergeCell ref="B16:B17"/>
    <mergeCell ref="B18:B19"/>
    <mergeCell ref="B20:B21"/>
    <mergeCell ref="B22:B23"/>
  </mergeCells>
  <phoneticPr fontId="0" type="noConversion"/>
  <conditionalFormatting sqref="D4:H17 D24:H45 I16:I23">
    <cfRule type="containsErrors" dxfId="406" priority="27">
      <formula>ISERROR(D4)</formula>
    </cfRule>
  </conditionalFormatting>
  <conditionalFormatting sqref="D6:E6 G6 D12:E12 G12 D31:E31 G31 D43:E43 G43 H24:H26 F24:F26 D24:E24 G24 I16:I23">
    <cfRule type="cellIs" dxfId="405" priority="26" operator="equal">
      <formula>0</formula>
    </cfRule>
  </conditionalFormatting>
  <conditionalFormatting sqref="G8 G14 G26 G33 G37 G41">
    <cfRule type="cellIs" dxfId="404" priority="25" operator="equal">
      <formula>0</formula>
    </cfRule>
  </conditionalFormatting>
  <conditionalFormatting sqref="D4:G5 D7:G7 D10:G11 D13:G13 D16:G17 D28:E30 G28:G30 D32:E32 G32 D39:E40 G39:G40 D25:G25">
    <cfRule type="cellIs" dxfId="403" priority="24" operator="equal">
      <formula>0</formula>
    </cfRule>
  </conditionalFormatting>
  <conditionalFormatting sqref="D6:G6 D8:G8 D12:E12 G12 D14:E14 G14 D31:E31 G31 D33:E33 G33 D41:E41 G41 D24:E24 G24">
    <cfRule type="cellIs" dxfId="402" priority="23" operator="equal">
      <formula>0</formula>
    </cfRule>
  </conditionalFormatting>
  <conditionalFormatting sqref="F4 F10">
    <cfRule type="containsErrors" dxfId="401" priority="22">
      <formula>ISERROR(F4)</formula>
    </cfRule>
  </conditionalFormatting>
  <conditionalFormatting sqref="F6 F12 F24 F31 F43">
    <cfRule type="cellIs" dxfId="400" priority="21" operator="equal">
      <formula>-1</formula>
    </cfRule>
  </conditionalFormatting>
  <conditionalFormatting sqref="F4:F8 F10:F14 F16:F17 F28:F33 F35:F37 F39:F41 F43:F45">
    <cfRule type="cellIs" dxfId="399" priority="20" operator="equal">
      <formula>0</formula>
    </cfRule>
  </conditionalFormatting>
  <conditionalFormatting sqref="F4:F8 F10:F14 F16:F17 F28:F33 F35:F37 F39:F41 F43:F45 H43:H45 H39:H41 H35:H37 H28:H33 H16:H17 H10:H14 H4:H8">
    <cfRule type="cellIs" dxfId="398" priority="19" operator="equal">
      <formula>0</formula>
    </cfRule>
  </conditionalFormatting>
  <conditionalFormatting sqref="D18:H19">
    <cfRule type="containsErrors" dxfId="397" priority="12">
      <formula>ISERROR(D18)</formula>
    </cfRule>
  </conditionalFormatting>
  <conditionalFormatting sqref="D18:G19">
    <cfRule type="cellIs" dxfId="396" priority="11" operator="equal">
      <formula>0</formula>
    </cfRule>
  </conditionalFormatting>
  <conditionalFormatting sqref="F18:F19">
    <cfRule type="cellIs" dxfId="395" priority="10" operator="equal">
      <formula>0</formula>
    </cfRule>
  </conditionalFormatting>
  <conditionalFormatting sqref="F18:F19 H18:H19">
    <cfRule type="cellIs" dxfId="394" priority="9" operator="equal">
      <formula>0</formula>
    </cfRule>
  </conditionalFormatting>
  <conditionalFormatting sqref="D20:H21">
    <cfRule type="containsErrors" dxfId="393" priority="8">
      <formula>ISERROR(D20)</formula>
    </cfRule>
  </conditionalFormatting>
  <conditionalFormatting sqref="D20:G21">
    <cfRule type="cellIs" dxfId="392" priority="7" operator="equal">
      <formula>0</formula>
    </cfRule>
  </conditionalFormatting>
  <conditionalFormatting sqref="F20:F21">
    <cfRule type="cellIs" dxfId="391" priority="6" operator="equal">
      <formula>0</formula>
    </cfRule>
  </conditionalFormatting>
  <conditionalFormatting sqref="F20:F21 H20:H21">
    <cfRule type="cellIs" dxfId="390" priority="5" operator="equal">
      <formula>0</formula>
    </cfRule>
  </conditionalFormatting>
  <conditionalFormatting sqref="D22:H23">
    <cfRule type="containsErrors" dxfId="389" priority="4">
      <formula>ISERROR(D22)</formula>
    </cfRule>
  </conditionalFormatting>
  <conditionalFormatting sqref="D22:G23">
    <cfRule type="cellIs" dxfId="388" priority="3" operator="equal">
      <formula>0</formula>
    </cfRule>
  </conditionalFormatting>
  <conditionalFormatting sqref="F22:F23">
    <cfRule type="cellIs" dxfId="387" priority="2" operator="equal">
      <formula>0</formula>
    </cfRule>
  </conditionalFormatting>
  <conditionalFormatting sqref="F22:F23 H22:H23">
    <cfRule type="cellIs" dxfId="386" priority="1" operator="equal">
      <formula>0</formula>
    </cfRule>
  </conditionalFormatting>
  <printOptions horizontalCentered="1" gridLinesSet="0"/>
  <pageMargins left="0.19685039370078741" right="0.23622047244094491" top="0.55118110236220474" bottom="0.39370078740157483" header="0.35433070866141736" footer="0.19685039370078741"/>
  <pageSetup paperSize="9" scale="74" orientation="portrait" horizontalDpi="4294967292"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N64"/>
  <sheetViews>
    <sheetView showGridLines="0" zoomScaleNormal="100" zoomScalePageLayoutView="60" workbookViewId="0"/>
  </sheetViews>
  <sheetFormatPr baseColWidth="10" defaultColWidth="11.42578125" defaultRowHeight="12.75"/>
  <cols>
    <col min="1" max="1" width="4.42578125" style="1690" customWidth="1"/>
    <col min="2" max="2" width="28.42578125" style="1690" customWidth="1"/>
    <col min="3" max="3" width="2.5703125" style="402" customWidth="1"/>
    <col min="4" max="4" width="17" style="1690" customWidth="1"/>
    <col min="5" max="5" width="12" style="1690" customWidth="1"/>
    <col min="6" max="6" width="0.85546875" style="1690" customWidth="1"/>
    <col min="7" max="7" width="17" style="1690" customWidth="1"/>
    <col min="8" max="9" width="12" style="1690" customWidth="1"/>
    <col min="10" max="10" width="0.85546875" style="402" customWidth="1"/>
    <col min="11" max="11" width="17" style="1690" customWidth="1"/>
    <col min="12" max="13" width="12" style="1690" customWidth="1"/>
    <col min="14" max="16384" width="11.42578125" style="1690"/>
  </cols>
  <sheetData>
    <row r="1" spans="1:14" s="1821" customFormat="1" ht="42.75" customHeight="1">
      <c r="A1" s="1818"/>
      <c r="B1" s="1818"/>
      <c r="C1" s="1819"/>
      <c r="D1" s="4344">
        <f>'Seite 1'!D36</f>
        <v>2023</v>
      </c>
      <c r="E1" s="4344"/>
      <c r="F1" s="1820"/>
      <c r="G1" s="4345" t="str">
        <f>'Seite 1'!F36</f>
        <v>2024 (Hochrechnung)</v>
      </c>
      <c r="H1" s="4345"/>
      <c r="I1" s="4345"/>
      <c r="J1" s="1820"/>
      <c r="K1" s="4343" t="str">
        <f>Personalkosten!G1</f>
        <v>Vereinbarungszeitraum</v>
      </c>
      <c r="L1" s="4344"/>
      <c r="M1" s="4344"/>
    </row>
    <row r="2" spans="1:14" ht="4.5" customHeight="1">
      <c r="A2" s="668"/>
      <c r="B2" s="717"/>
      <c r="C2" s="668"/>
      <c r="D2" s="668"/>
      <c r="E2" s="668"/>
      <c r="F2" s="402"/>
      <c r="G2" s="668"/>
      <c r="H2" s="668"/>
      <c r="I2" s="402"/>
      <c r="K2" s="668"/>
      <c r="L2" s="668"/>
      <c r="M2" s="1822"/>
    </row>
    <row r="3" spans="1:14" ht="48.75" customHeight="1">
      <c r="A3" s="717"/>
      <c r="B3" s="1823" t="s">
        <v>59</v>
      </c>
      <c r="C3" s="668"/>
      <c r="D3" s="1824" t="s">
        <v>60</v>
      </c>
      <c r="E3" s="1825" t="s">
        <v>121</v>
      </c>
      <c r="F3" s="402"/>
      <c r="G3" s="1826" t="str">
        <f>Personalkosten!E2</f>
        <v/>
      </c>
      <c r="H3" s="1825" t="s">
        <v>121</v>
      </c>
      <c r="I3" s="1827" t="s">
        <v>62</v>
      </c>
      <c r="J3" s="1828"/>
      <c r="K3" s="1829" t="str">
        <f>Personalkosten!G2</f>
        <v>Kalkulation</v>
      </c>
      <c r="L3" s="1825" t="s">
        <v>121</v>
      </c>
      <c r="M3" s="1830" t="s">
        <v>62</v>
      </c>
    </row>
    <row r="4" spans="1:14" ht="11.25" customHeight="1" thickBot="1">
      <c r="A4" s="668"/>
      <c r="B4" s="717"/>
      <c r="C4" s="668"/>
      <c r="D4" s="703">
        <v>1</v>
      </c>
      <c r="E4" s="703">
        <v>2</v>
      </c>
      <c r="F4" s="1831"/>
      <c r="G4" s="703">
        <v>3</v>
      </c>
      <c r="H4" s="703">
        <v>4</v>
      </c>
      <c r="I4" s="1734">
        <v>5</v>
      </c>
      <c r="J4" s="1734"/>
      <c r="K4" s="703">
        <v>6</v>
      </c>
      <c r="L4" s="703">
        <v>7</v>
      </c>
      <c r="M4" s="1832">
        <v>8</v>
      </c>
      <c r="N4" s="404"/>
    </row>
    <row r="5" spans="1:14" ht="33.950000000000003" customHeight="1">
      <c r="A5" s="668">
        <v>75</v>
      </c>
      <c r="B5" s="1833" t="s">
        <v>63</v>
      </c>
      <c r="C5" s="1834"/>
      <c r="D5" s="1835" t="str">
        <f>IF('Copy &amp; Paste'!D102="","",'Copy &amp; Paste'!D102)</f>
        <v/>
      </c>
      <c r="E5" s="1836" t="str">
        <f>IF(D5="","",(D5/IF(ISNUMBER(BT_abgel),BT_abgel)))</f>
        <v/>
      </c>
      <c r="F5" s="1725"/>
      <c r="G5" s="1835" t="str">
        <f>IF('Copy &amp; Paste'!E102="","",'Copy &amp; Paste'!E102)</f>
        <v/>
      </c>
      <c r="H5" s="1837" t="str">
        <f t="shared" ref="H5:H32" si="0">IF(G5="","",(G5/BT_lfd))</f>
        <v/>
      </c>
      <c r="I5" s="1838" t="str">
        <f t="shared" ref="I5:I40" si="1">IF(E5="","",H5/E5-1)</f>
        <v/>
      </c>
      <c r="J5" s="1839"/>
      <c r="K5" s="1835" t="str">
        <f>IF('Copy &amp; Paste'!F102="","",'Copy &amp; Paste'!F102)</f>
        <v/>
      </c>
      <c r="L5" s="1837" t="str">
        <f t="shared" ref="L5:L32" si="2">IF(K5="","",K5/BT_pros)</f>
        <v/>
      </c>
      <c r="M5" s="1840" t="str">
        <f>IF(H5="","",L5/H5-1)</f>
        <v/>
      </c>
    </row>
    <row r="6" spans="1:14" ht="33.950000000000003" customHeight="1">
      <c r="A6" s="668">
        <f>A5+1</f>
        <v>76</v>
      </c>
      <c r="B6" s="1841" t="s">
        <v>64</v>
      </c>
      <c r="C6" s="1842"/>
      <c r="D6" s="1786" t="str">
        <f>IF('Copy &amp; Paste'!D103="","",'Copy &amp; Paste'!D103)</f>
        <v/>
      </c>
      <c r="E6" s="1843" t="str">
        <f t="shared" ref="E6:E46" si="3">IF(D6="","",(D6/IF(ISNUMBER(BT_abgel),BT_abgel)))</f>
        <v/>
      </c>
      <c r="F6" s="402"/>
      <c r="G6" s="1844">
        <f>IF('Copy &amp; Paste'!E103="",0,'Copy &amp; Paste'!E103)</f>
        <v>0</v>
      </c>
      <c r="H6" s="1843" t="e">
        <f t="shared" si="0"/>
        <v>#VALUE!</v>
      </c>
      <c r="I6" s="1845" t="str">
        <f t="shared" si="1"/>
        <v/>
      </c>
      <c r="J6" s="1846"/>
      <c r="K6" s="1844">
        <f>IF('Copy &amp; Paste'!F103="",0,'Copy &amp; Paste'!F103)</f>
        <v>0</v>
      </c>
      <c r="L6" s="1843" t="e">
        <f t="shared" si="2"/>
        <v>#VALUE!</v>
      </c>
      <c r="M6" s="1847" t="e">
        <f t="shared" ref="M6:M40" si="4">IF(H6="","",L6/H6-1)</f>
        <v>#VALUE!</v>
      </c>
    </row>
    <row r="7" spans="1:14" ht="33.950000000000003" customHeight="1" thickBot="1">
      <c r="A7" s="668">
        <f>A6+1</f>
        <v>77</v>
      </c>
      <c r="B7" s="1848" t="s">
        <v>1208</v>
      </c>
      <c r="C7" s="1849"/>
      <c r="D7" s="1850" t="e">
        <f>IF(D6=0,"",D5-D6)</f>
        <v>#VALUE!</v>
      </c>
      <c r="E7" s="1851" t="e">
        <f>IF(E6=0,"",E5-E6)</f>
        <v>#VALUE!</v>
      </c>
      <c r="F7" s="1852"/>
      <c r="G7" s="1853" t="str">
        <f>IF(G6=0,"",G5-G6)</f>
        <v/>
      </c>
      <c r="H7" s="1851" t="e">
        <f>IF(H6=0,"",H5-H6)</f>
        <v>#VALUE!</v>
      </c>
      <c r="I7" s="1854" t="str">
        <f>IF(G7&lt;=0,"",IF(G7="","",(G7/D7-1)))</f>
        <v/>
      </c>
      <c r="J7" s="1855"/>
      <c r="K7" s="1853" t="str">
        <f>IF(K6=0,"",K5-K6)</f>
        <v/>
      </c>
      <c r="L7" s="1851" t="e">
        <f>IF(L6=0,"",L5-L6)</f>
        <v>#VALUE!</v>
      </c>
      <c r="M7" s="1856" t="str">
        <f>IF(K7&lt;=0,"",IF(K7="","",(K7/G7-1)))</f>
        <v/>
      </c>
    </row>
    <row r="8" spans="1:14" ht="13.5" thickBot="1">
      <c r="A8" s="668"/>
      <c r="B8" s="1857"/>
      <c r="C8" s="1842"/>
      <c r="D8" s="1858"/>
      <c r="E8" s="1859"/>
      <c r="F8" s="402"/>
      <c r="G8" s="1858"/>
      <c r="H8" s="1859"/>
      <c r="I8" s="1860"/>
      <c r="J8" s="1846"/>
      <c r="K8" s="1858"/>
      <c r="L8" s="1859"/>
      <c r="M8" s="1861"/>
    </row>
    <row r="9" spans="1:14" ht="33.950000000000003" customHeight="1" thickBot="1">
      <c r="A9" s="668">
        <f>A7+1</f>
        <v>78</v>
      </c>
      <c r="B9" s="1862" t="s">
        <v>65</v>
      </c>
      <c r="C9" s="1863"/>
      <c r="D9" s="1864" t="str">
        <f>IF('Copy &amp; Paste'!D104="","",'Copy &amp; Paste'!D104)</f>
        <v/>
      </c>
      <c r="E9" s="1865" t="str">
        <f t="shared" si="3"/>
        <v/>
      </c>
      <c r="F9" s="1680"/>
      <c r="G9" s="1864" t="str">
        <f>IF('Copy &amp; Paste'!E104="","",'Copy &amp; Paste'!E104)</f>
        <v/>
      </c>
      <c r="H9" s="1865" t="str">
        <f t="shared" si="0"/>
        <v/>
      </c>
      <c r="I9" s="1866" t="str">
        <f t="shared" si="1"/>
        <v/>
      </c>
      <c r="J9" s="1867"/>
      <c r="K9" s="1864" t="str">
        <f>IF('Copy &amp; Paste'!F104="","",'Copy &amp; Paste'!F104)</f>
        <v/>
      </c>
      <c r="L9" s="1865" t="str">
        <f t="shared" si="2"/>
        <v/>
      </c>
      <c r="M9" s="1868" t="str">
        <f t="shared" si="4"/>
        <v/>
      </c>
    </row>
    <row r="10" spans="1:14" ht="13.5" thickBot="1">
      <c r="A10" s="668"/>
      <c r="B10" s="1869"/>
      <c r="C10" s="1863"/>
      <c r="D10" s="1870"/>
      <c r="E10" s="1871"/>
      <c r="F10" s="1680"/>
      <c r="G10" s="1870"/>
      <c r="H10" s="1871"/>
      <c r="I10" s="1872"/>
      <c r="J10" s="1867"/>
      <c r="K10" s="1870"/>
      <c r="L10" s="1871"/>
      <c r="M10" s="1872"/>
    </row>
    <row r="11" spans="1:14" ht="33.950000000000003" customHeight="1">
      <c r="A11" s="668">
        <f>A9+1</f>
        <v>79</v>
      </c>
      <c r="B11" s="1833" t="s">
        <v>66</v>
      </c>
      <c r="C11" s="1834"/>
      <c r="D11" s="1835" t="str">
        <f>IF('Copy &amp; Paste'!D105="","",'Copy &amp; Paste'!D105)</f>
        <v/>
      </c>
      <c r="E11" s="1837" t="str">
        <f t="shared" si="3"/>
        <v/>
      </c>
      <c r="F11" s="1725"/>
      <c r="G11" s="1835" t="str">
        <f>IF('Copy &amp; Paste'!E105="","",'Copy &amp; Paste'!E105)</f>
        <v/>
      </c>
      <c r="H11" s="1837" t="str">
        <f t="shared" si="0"/>
        <v/>
      </c>
      <c r="I11" s="1838" t="str">
        <f t="shared" si="1"/>
        <v/>
      </c>
      <c r="J11" s="1839"/>
      <c r="K11" s="1835" t="str">
        <f>IF('Copy &amp; Paste'!F105="","",'Copy &amp; Paste'!F105)</f>
        <v/>
      </c>
      <c r="L11" s="1837" t="str">
        <f t="shared" si="2"/>
        <v/>
      </c>
      <c r="M11" s="1840" t="str">
        <f t="shared" si="4"/>
        <v/>
      </c>
    </row>
    <row r="12" spans="1:14" ht="33.950000000000003" customHeight="1">
      <c r="A12" s="668">
        <f t="shared" ref="A12:A27" si="5">A11+1</f>
        <v>80</v>
      </c>
      <c r="B12" s="1841" t="s">
        <v>67</v>
      </c>
      <c r="C12" s="1842"/>
      <c r="D12" s="1844">
        <f>IF('Copy &amp; Paste'!D106="",0,'Copy &amp; Paste'!D106)</f>
        <v>0</v>
      </c>
      <c r="E12" s="1843" t="e">
        <f t="shared" si="3"/>
        <v>#DIV/0!</v>
      </c>
      <c r="F12" s="402"/>
      <c r="G12" s="1844">
        <f>IF('Copy &amp; Paste'!E106="",0,'Copy &amp; Paste'!E106)</f>
        <v>0</v>
      </c>
      <c r="H12" s="1843" t="e">
        <f t="shared" si="0"/>
        <v>#VALUE!</v>
      </c>
      <c r="I12" s="1845" t="e">
        <f t="shared" si="1"/>
        <v>#DIV/0!</v>
      </c>
      <c r="J12" s="1846"/>
      <c r="K12" s="1844">
        <f>IF('Copy &amp; Paste'!F106="",0,'Copy &amp; Paste'!F106)</f>
        <v>0</v>
      </c>
      <c r="L12" s="1843" t="e">
        <f t="shared" si="2"/>
        <v>#VALUE!</v>
      </c>
      <c r="M12" s="1847" t="e">
        <f t="shared" si="4"/>
        <v>#VALUE!</v>
      </c>
    </row>
    <row r="13" spans="1:14" ht="33.950000000000003" customHeight="1">
      <c r="A13" s="668">
        <f t="shared" si="5"/>
        <v>81</v>
      </c>
      <c r="B13" s="1841" t="s">
        <v>68</v>
      </c>
      <c r="C13" s="1842"/>
      <c r="D13" s="1844">
        <f>IF('Copy &amp; Paste'!D107="",0,'Copy &amp; Paste'!D107)</f>
        <v>0</v>
      </c>
      <c r="E13" s="1843" t="e">
        <f t="shared" si="3"/>
        <v>#DIV/0!</v>
      </c>
      <c r="F13" s="402"/>
      <c r="G13" s="1844">
        <f>IF('Copy &amp; Paste'!E107="",0,'Copy &amp; Paste'!E107)</f>
        <v>0</v>
      </c>
      <c r="H13" s="1843" t="e">
        <f t="shared" si="0"/>
        <v>#VALUE!</v>
      </c>
      <c r="I13" s="1845" t="e">
        <f>IF(E13="","",H13/E13-1)</f>
        <v>#DIV/0!</v>
      </c>
      <c r="J13" s="1846"/>
      <c r="K13" s="1844">
        <f>IF('Copy &amp; Paste'!F107="",0,'Copy &amp; Paste'!F107)</f>
        <v>0</v>
      </c>
      <c r="L13" s="1843" t="e">
        <f t="shared" si="2"/>
        <v>#VALUE!</v>
      </c>
      <c r="M13" s="1847" t="e">
        <f>IF(H13="","",L13/H13-1)</f>
        <v>#VALUE!</v>
      </c>
    </row>
    <row r="14" spans="1:14" ht="33.950000000000003" customHeight="1" thickBot="1">
      <c r="A14" s="668">
        <f>A13+1</f>
        <v>82</v>
      </c>
      <c r="B14" s="1848" t="s">
        <v>1209</v>
      </c>
      <c r="C14" s="1849"/>
      <c r="D14" s="1853" t="str">
        <f>IF(AND(D12=0,D13=0),"",D11-D12-D13)</f>
        <v/>
      </c>
      <c r="E14" s="1851" t="e">
        <f>IF(AND(E12=0,E13=0),"",E11-E12-E13)</f>
        <v>#DIV/0!</v>
      </c>
      <c r="F14" s="1852"/>
      <c r="G14" s="1853" t="str">
        <f>IF(AND(G12=0,G13=0),"",G11-G12-G13)</f>
        <v/>
      </c>
      <c r="H14" s="1851" t="e">
        <f>IF(AND(H12=0,H13=0),"",H11-H12-H13)</f>
        <v>#VALUE!</v>
      </c>
      <c r="I14" s="1854" t="e">
        <f>IF(E14="","",H14/E14-1)</f>
        <v>#DIV/0!</v>
      </c>
      <c r="J14" s="1855"/>
      <c r="K14" s="1853" t="str">
        <f>IF(AND(K12=0,K13=0),"",K11-K12-K13)</f>
        <v/>
      </c>
      <c r="L14" s="1851" t="str">
        <f>IF(AND(K12=0,K13=0),"",L11-L12-L13)</f>
        <v/>
      </c>
      <c r="M14" s="1856" t="e">
        <f>IF(H14="","",L14/H14-1)</f>
        <v>#VALUE!</v>
      </c>
    </row>
    <row r="15" spans="1:14" ht="13.5" thickBot="1">
      <c r="A15" s="668"/>
      <c r="B15" s="1857"/>
      <c r="C15" s="1863"/>
      <c r="D15" s="1858"/>
      <c r="E15" s="1859"/>
      <c r="F15" s="1680"/>
      <c r="G15" s="1858"/>
      <c r="H15" s="1859"/>
      <c r="I15" s="1860"/>
      <c r="J15" s="1867"/>
      <c r="K15" s="1858"/>
      <c r="L15" s="1859"/>
      <c r="M15" s="1861"/>
    </row>
    <row r="16" spans="1:14" ht="33.950000000000003" customHeight="1" thickBot="1">
      <c r="A16" s="668">
        <f>A14+1</f>
        <v>83</v>
      </c>
      <c r="B16" s="1862" t="s">
        <v>779</v>
      </c>
      <c r="C16" s="1863"/>
      <c r="D16" s="1864" t="str">
        <f>IF('Copy &amp; Paste'!D108="","",'Copy &amp; Paste'!D108)</f>
        <v/>
      </c>
      <c r="E16" s="1865" t="str">
        <f t="shared" si="3"/>
        <v/>
      </c>
      <c r="F16" s="1680"/>
      <c r="G16" s="1864" t="str">
        <f>IF('Copy &amp; Paste'!E108="","",'Copy &amp; Paste'!E108)</f>
        <v/>
      </c>
      <c r="H16" s="1865" t="str">
        <f t="shared" si="0"/>
        <v/>
      </c>
      <c r="I16" s="1866" t="str">
        <f>IF(E16="","",H16/E16-1)</f>
        <v/>
      </c>
      <c r="J16" s="1867"/>
      <c r="K16" s="1864" t="str">
        <f>IF('Copy &amp; Paste'!F108="","",'Copy &amp; Paste'!F108)</f>
        <v/>
      </c>
      <c r="L16" s="1865" t="str">
        <f t="shared" si="2"/>
        <v/>
      </c>
      <c r="M16" s="1868" t="str">
        <f>IF(H16="","",L16/H16-1)</f>
        <v/>
      </c>
    </row>
    <row r="17" spans="1:14" ht="13.5" thickBot="1">
      <c r="A17" s="668"/>
      <c r="B17" s="1873"/>
      <c r="C17" s="1874"/>
      <c r="D17" s="1870"/>
      <c r="E17" s="1875"/>
      <c r="F17" s="1876"/>
      <c r="G17" s="1870"/>
      <c r="H17" s="1875"/>
      <c r="I17" s="1877"/>
      <c r="J17" s="1878"/>
      <c r="K17" s="1870"/>
      <c r="L17" s="1875"/>
      <c r="M17" s="1877"/>
    </row>
    <row r="18" spans="1:14" ht="33.950000000000003" customHeight="1" thickBot="1">
      <c r="A18" s="668">
        <f>A16+1</f>
        <v>84</v>
      </c>
      <c r="B18" s="1862" t="s">
        <v>69</v>
      </c>
      <c r="C18" s="1863"/>
      <c r="D18" s="1864" t="str">
        <f>IF('Copy &amp; Paste'!D109="","",'Copy &amp; Paste'!D109)</f>
        <v/>
      </c>
      <c r="E18" s="1865" t="str">
        <f t="shared" si="3"/>
        <v/>
      </c>
      <c r="F18" s="1680"/>
      <c r="G18" s="1864" t="str">
        <f>IF('Copy &amp; Paste'!E109="","",'Copy &amp; Paste'!E109)</f>
        <v/>
      </c>
      <c r="H18" s="1865" t="str">
        <f t="shared" si="0"/>
        <v/>
      </c>
      <c r="I18" s="1866" t="str">
        <f t="shared" si="1"/>
        <v/>
      </c>
      <c r="J18" s="1867"/>
      <c r="K18" s="1864" t="str">
        <f>IF('Copy &amp; Paste'!F109="","",'Copy &amp; Paste'!F109)</f>
        <v/>
      </c>
      <c r="L18" s="1865" t="str">
        <f t="shared" si="2"/>
        <v/>
      </c>
      <c r="M18" s="1868" t="str">
        <f t="shared" si="4"/>
        <v/>
      </c>
    </row>
    <row r="19" spans="1:14" ht="13.5" thickBot="1">
      <c r="A19" s="668"/>
      <c r="B19" s="1879"/>
      <c r="C19" s="1880"/>
      <c r="D19" s="1881"/>
      <c r="E19" s="1882"/>
      <c r="F19" s="609"/>
      <c r="G19" s="1881"/>
      <c r="H19" s="1882"/>
      <c r="I19" s="1883"/>
      <c r="J19" s="1884"/>
      <c r="K19" s="1881"/>
      <c r="L19" s="1882"/>
      <c r="M19" s="1883"/>
    </row>
    <row r="20" spans="1:14" ht="33.950000000000003" customHeight="1" thickBot="1">
      <c r="A20" s="668">
        <f>A18+1</f>
        <v>85</v>
      </c>
      <c r="B20" s="1862" t="s">
        <v>70</v>
      </c>
      <c r="C20" s="1863"/>
      <c r="D20" s="1864" t="str">
        <f>IF('Copy &amp; Paste'!D110="","",'Copy &amp; Paste'!D110)</f>
        <v/>
      </c>
      <c r="E20" s="1865" t="str">
        <f t="shared" si="3"/>
        <v/>
      </c>
      <c r="F20" s="1680"/>
      <c r="G20" s="1864" t="str">
        <f>IF('Copy &amp; Paste'!E110="","",'Copy &amp; Paste'!E110)</f>
        <v/>
      </c>
      <c r="H20" s="1865" t="str">
        <f t="shared" si="0"/>
        <v/>
      </c>
      <c r="I20" s="1866" t="str">
        <f t="shared" si="1"/>
        <v/>
      </c>
      <c r="J20" s="1867"/>
      <c r="K20" s="1864" t="str">
        <f>IF('Copy &amp; Paste'!F110="","",'Copy &amp; Paste'!F110)</f>
        <v/>
      </c>
      <c r="L20" s="1865" t="str">
        <f t="shared" si="2"/>
        <v/>
      </c>
      <c r="M20" s="1868" t="str">
        <f t="shared" si="4"/>
        <v/>
      </c>
    </row>
    <row r="21" spans="1:14" ht="13.5" thickBot="1">
      <c r="A21" s="668"/>
      <c r="B21" s="1873"/>
      <c r="C21" s="1874"/>
      <c r="D21" s="1870"/>
      <c r="E21" s="1875"/>
      <c r="F21" s="1876"/>
      <c r="G21" s="1870"/>
      <c r="H21" s="1875"/>
      <c r="I21" s="1877"/>
      <c r="J21" s="1878"/>
      <c r="K21" s="1870"/>
      <c r="L21" s="1875"/>
      <c r="M21" s="1877"/>
    </row>
    <row r="22" spans="1:14" ht="33.950000000000003" customHeight="1">
      <c r="A22" s="668">
        <f>A20+1</f>
        <v>86</v>
      </c>
      <c r="B22" s="1833" t="s">
        <v>0</v>
      </c>
      <c r="C22" s="1834"/>
      <c r="D22" s="1835" t="str">
        <f>IF('Copy &amp; Paste'!D111="","",'Copy &amp; Paste'!D111)</f>
        <v/>
      </c>
      <c r="E22" s="1837" t="str">
        <f t="shared" si="3"/>
        <v/>
      </c>
      <c r="F22" s="1725"/>
      <c r="G22" s="1835" t="str">
        <f>IF('Copy &amp; Paste'!E111="","",'Copy &amp; Paste'!E111)</f>
        <v/>
      </c>
      <c r="H22" s="1837" t="str">
        <f t="shared" si="0"/>
        <v/>
      </c>
      <c r="I22" s="1838" t="str">
        <f t="shared" si="1"/>
        <v/>
      </c>
      <c r="J22" s="1839"/>
      <c r="K22" s="1835" t="str">
        <f>IF('Copy &amp; Paste'!F111="","",'Copy &amp; Paste'!F111)</f>
        <v/>
      </c>
      <c r="L22" s="1837" t="str">
        <f t="shared" si="2"/>
        <v/>
      </c>
      <c r="M22" s="1840" t="str">
        <f t="shared" si="4"/>
        <v/>
      </c>
    </row>
    <row r="23" spans="1:14" ht="33.950000000000003" customHeight="1">
      <c r="A23" s="668">
        <f>A22+1</f>
        <v>87</v>
      </c>
      <c r="B23" s="1841" t="s">
        <v>783</v>
      </c>
      <c r="C23" s="1842"/>
      <c r="D23" s="1844" t="str">
        <f>IF('Copy &amp; Paste'!D112="","",'Copy &amp; Paste'!D112)</f>
        <v/>
      </c>
      <c r="E23" s="1843" t="str">
        <f t="shared" si="3"/>
        <v/>
      </c>
      <c r="F23" s="402"/>
      <c r="G23" s="1844">
        <f>IF('Copy &amp; Paste'!E112="",0,'Copy &amp; Paste'!E112)</f>
        <v>0</v>
      </c>
      <c r="H23" s="1843" t="e">
        <f t="shared" si="0"/>
        <v>#VALUE!</v>
      </c>
      <c r="I23" s="1845" t="str">
        <f t="shared" si="1"/>
        <v/>
      </c>
      <c r="J23" s="1846"/>
      <c r="K23" s="1844">
        <f>IF('Copy &amp; Paste'!F112="",0,'Copy &amp; Paste'!F112)</f>
        <v>0</v>
      </c>
      <c r="L23" s="1843" t="e">
        <f t="shared" si="2"/>
        <v>#VALUE!</v>
      </c>
      <c r="M23" s="1847" t="e">
        <f t="shared" si="4"/>
        <v>#VALUE!</v>
      </c>
    </row>
    <row r="24" spans="1:14" ht="33.950000000000003" customHeight="1" thickBot="1">
      <c r="A24" s="668">
        <f>A23+1</f>
        <v>88</v>
      </c>
      <c r="B24" s="1848" t="s">
        <v>1210</v>
      </c>
      <c r="C24" s="1849"/>
      <c r="D24" s="1853" t="e">
        <f>IF(D23=0,"",D22-D23)</f>
        <v>#VALUE!</v>
      </c>
      <c r="E24" s="1851" t="e">
        <f>IF(E23=0,"",E22-E23)</f>
        <v>#VALUE!</v>
      </c>
      <c r="F24" s="1852"/>
      <c r="G24" s="1853" t="str">
        <f>IF(G23=0,"",G22-G23)</f>
        <v/>
      </c>
      <c r="H24" s="1851" t="e">
        <f>IF(H23=0,"",H22-H23)</f>
        <v>#VALUE!</v>
      </c>
      <c r="I24" s="1854" t="e">
        <f>IF(E24="","",H24/E24-1)</f>
        <v>#VALUE!</v>
      </c>
      <c r="J24" s="1855"/>
      <c r="K24" s="1853" t="str">
        <f>IF(K23=0,"",K22-K23)</f>
        <v/>
      </c>
      <c r="L24" s="1885" t="e">
        <f>IF(L23=0,"",L22-L23)</f>
        <v>#VALUE!</v>
      </c>
      <c r="M24" s="1856" t="e">
        <f>IF(H24="","",L24/H24-1)</f>
        <v>#VALUE!</v>
      </c>
    </row>
    <row r="25" spans="1:14" ht="13.5" thickBot="1">
      <c r="A25" s="668"/>
      <c r="B25" s="1886"/>
      <c r="C25" s="1887"/>
      <c r="D25" s="1888"/>
      <c r="E25" s="1889"/>
      <c r="F25" s="404"/>
      <c r="G25" s="1888"/>
      <c r="H25" s="1889"/>
      <c r="I25" s="1890"/>
      <c r="J25" s="1891"/>
      <c r="K25" s="1888"/>
      <c r="L25" s="1889"/>
      <c r="M25" s="1890"/>
      <c r="N25" s="404"/>
    </row>
    <row r="26" spans="1:14" ht="38.25">
      <c r="A26" s="668">
        <f>A24+1</f>
        <v>89</v>
      </c>
      <c r="B26" s="1833" t="s">
        <v>1524</v>
      </c>
      <c r="C26" s="1834"/>
      <c r="D26" s="1835" t="str">
        <f>IF('Copy &amp; Paste'!D113="","",'Copy &amp; Paste'!D113)</f>
        <v/>
      </c>
      <c r="E26" s="1837" t="str">
        <f t="shared" si="3"/>
        <v/>
      </c>
      <c r="F26" s="1725"/>
      <c r="G26" s="1835" t="str">
        <f>IF('Copy &amp; Paste'!E113="","",'Copy &amp; Paste'!E113)</f>
        <v/>
      </c>
      <c r="H26" s="1837" t="str">
        <f t="shared" si="0"/>
        <v/>
      </c>
      <c r="I26" s="1838" t="str">
        <f t="shared" si="1"/>
        <v/>
      </c>
      <c r="J26" s="1839"/>
      <c r="K26" s="1835" t="str">
        <f>IF('Copy &amp; Paste'!F113="","",'Copy &amp; Paste'!F113)</f>
        <v/>
      </c>
      <c r="L26" s="1837" t="str">
        <f t="shared" si="2"/>
        <v/>
      </c>
      <c r="M26" s="1840" t="str">
        <f t="shared" si="4"/>
        <v/>
      </c>
    </row>
    <row r="27" spans="1:14" ht="33.950000000000003" customHeight="1">
      <c r="A27" s="668">
        <f t="shared" si="5"/>
        <v>90</v>
      </c>
      <c r="B27" s="1841" t="s">
        <v>71</v>
      </c>
      <c r="C27" s="1842"/>
      <c r="D27" s="1844" t="str">
        <f>IF('Copy &amp; Paste'!D114="","",'Copy &amp; Paste'!D114)</f>
        <v/>
      </c>
      <c r="E27" s="1843" t="str">
        <f t="shared" si="3"/>
        <v/>
      </c>
      <c r="F27" s="402"/>
      <c r="G27" s="1844">
        <f>IF('Copy &amp; Paste'!E114="",0,'Copy &amp; Paste'!E114)</f>
        <v>0</v>
      </c>
      <c r="H27" s="1843" t="e">
        <f t="shared" si="0"/>
        <v>#VALUE!</v>
      </c>
      <c r="I27" s="1845" t="str">
        <f t="shared" si="1"/>
        <v/>
      </c>
      <c r="J27" s="1846"/>
      <c r="K27" s="1844">
        <f>IF('Copy &amp; Paste'!F114="",0,'Copy &amp; Paste'!F114)</f>
        <v>0</v>
      </c>
      <c r="L27" s="1843" t="e">
        <f t="shared" si="2"/>
        <v>#VALUE!</v>
      </c>
      <c r="M27" s="1847" t="e">
        <f t="shared" si="4"/>
        <v>#VALUE!</v>
      </c>
    </row>
    <row r="28" spans="1:14" ht="33.950000000000003" customHeight="1" thickBot="1">
      <c r="A28" s="668">
        <f>A27+1</f>
        <v>91</v>
      </c>
      <c r="B28" s="1892" t="s">
        <v>1236</v>
      </c>
      <c r="C28" s="1849"/>
      <c r="D28" s="1853" t="e">
        <f>IF(D27=0,"",D26-D27)</f>
        <v>#VALUE!</v>
      </c>
      <c r="E28" s="1851" t="e">
        <f>IF(E27=0,"",E26-E27)</f>
        <v>#VALUE!</v>
      </c>
      <c r="F28" s="1852"/>
      <c r="G28" s="1853" t="str">
        <f>IF(G27=0,"",G26-G27)</f>
        <v/>
      </c>
      <c r="H28" s="1851" t="e">
        <f>IF(H27=0,"",H26-H27)</f>
        <v>#VALUE!</v>
      </c>
      <c r="I28" s="1854" t="e">
        <f>IF(E28="","",H28/E28-1)</f>
        <v>#VALUE!</v>
      </c>
      <c r="J28" s="1855"/>
      <c r="K28" s="1853" t="str">
        <f>IF(K27=0,"",K26-K27)</f>
        <v/>
      </c>
      <c r="L28" s="1851" t="e">
        <f>IF(L27=0,"",L26-L27)</f>
        <v>#VALUE!</v>
      </c>
      <c r="M28" s="1856" t="e">
        <f>IF(H28="","",L28/H28-1)</f>
        <v>#VALUE!</v>
      </c>
    </row>
    <row r="29" spans="1:14" ht="13.5" thickBot="1">
      <c r="A29" s="668"/>
      <c r="B29" s="1893"/>
      <c r="C29" s="1874"/>
      <c r="D29" s="1858"/>
      <c r="E29" s="1894"/>
      <c r="F29" s="1876"/>
      <c r="G29" s="1858"/>
      <c r="H29" s="1894"/>
      <c r="I29" s="1895"/>
      <c r="J29" s="1878"/>
      <c r="K29" s="1858"/>
      <c r="L29" s="1894"/>
      <c r="M29" s="1895"/>
    </row>
    <row r="30" spans="1:14" ht="33.950000000000003" customHeight="1" thickBot="1">
      <c r="A30" s="668">
        <f>A28+1</f>
        <v>92</v>
      </c>
      <c r="B30" s="1862" t="s">
        <v>72</v>
      </c>
      <c r="C30" s="1863"/>
      <c r="D30" s="1864" t="str">
        <f>IF('Copy &amp; Paste'!D115="","",'Copy &amp; Paste'!D115)</f>
        <v/>
      </c>
      <c r="E30" s="1865" t="str">
        <f t="shared" si="3"/>
        <v/>
      </c>
      <c r="F30" s="1680"/>
      <c r="G30" s="1864" t="str">
        <f>IF('Copy &amp; Paste'!E115="","",'Copy &amp; Paste'!E115)</f>
        <v/>
      </c>
      <c r="H30" s="1865" t="str">
        <f t="shared" si="0"/>
        <v/>
      </c>
      <c r="I30" s="1866" t="str">
        <f t="shared" si="1"/>
        <v/>
      </c>
      <c r="J30" s="1867"/>
      <c r="K30" s="1864" t="str">
        <f>IF('Copy &amp; Paste'!F115="","",'Copy &amp; Paste'!F115)</f>
        <v/>
      </c>
      <c r="L30" s="1865" t="str">
        <f t="shared" si="2"/>
        <v/>
      </c>
      <c r="M30" s="1868" t="str">
        <f t="shared" si="4"/>
        <v/>
      </c>
    </row>
    <row r="31" spans="1:14" ht="13.5" thickBot="1">
      <c r="A31" s="668"/>
      <c r="B31" s="1873"/>
      <c r="C31" s="1874"/>
      <c r="D31" s="1870"/>
      <c r="E31" s="1875"/>
      <c r="F31" s="1876"/>
      <c r="G31" s="1870"/>
      <c r="H31" s="1875"/>
      <c r="I31" s="1877"/>
      <c r="J31" s="1878"/>
      <c r="K31" s="1870"/>
      <c r="L31" s="1875"/>
      <c r="M31" s="1877"/>
    </row>
    <row r="32" spans="1:14" ht="33.950000000000003" customHeight="1" thickBot="1">
      <c r="A32" s="668">
        <f>A30+1</f>
        <v>93</v>
      </c>
      <c r="B32" s="1862" t="s">
        <v>73</v>
      </c>
      <c r="C32" s="1863"/>
      <c r="D32" s="1864" t="str">
        <f>IF('Copy &amp; Paste'!D116="","",'Copy &amp; Paste'!D116)</f>
        <v/>
      </c>
      <c r="E32" s="1865" t="str">
        <f t="shared" si="3"/>
        <v/>
      </c>
      <c r="F32" s="1680"/>
      <c r="G32" s="1864" t="str">
        <f>IF('Copy &amp; Paste'!E116="","",'Copy &amp; Paste'!E116)</f>
        <v/>
      </c>
      <c r="H32" s="1865" t="str">
        <f t="shared" si="0"/>
        <v/>
      </c>
      <c r="I32" s="1866" t="str">
        <f t="shared" si="1"/>
        <v/>
      </c>
      <c r="J32" s="1867"/>
      <c r="K32" s="1864" t="str">
        <f>IF('Copy &amp; Paste'!F116="","",'Copy &amp; Paste'!F116)</f>
        <v/>
      </c>
      <c r="L32" s="1865" t="str">
        <f t="shared" si="2"/>
        <v/>
      </c>
      <c r="M32" s="1868" t="str">
        <f t="shared" si="4"/>
        <v/>
      </c>
    </row>
    <row r="33" spans="1:13" ht="13.5" thickBot="1">
      <c r="A33" s="668"/>
      <c r="B33" s="1879"/>
      <c r="C33" s="1880"/>
      <c r="D33" s="1881"/>
      <c r="E33" s="1882"/>
      <c r="F33" s="609"/>
      <c r="G33" s="1881"/>
      <c r="H33" s="1882"/>
      <c r="I33" s="1883"/>
      <c r="J33" s="1884"/>
      <c r="K33" s="1881"/>
      <c r="L33" s="1882"/>
      <c r="M33" s="1883"/>
    </row>
    <row r="34" spans="1:13" ht="33.950000000000003" customHeight="1" thickBot="1">
      <c r="A34" s="668">
        <f>A32+1</f>
        <v>94</v>
      </c>
      <c r="B34" s="1896"/>
      <c r="C34" s="1863"/>
      <c r="D34" s="1864"/>
      <c r="E34" s="1865"/>
      <c r="F34" s="1680"/>
      <c r="G34" s="1864"/>
      <c r="H34" s="1865"/>
      <c r="I34" s="1866"/>
      <c r="J34" s="1867"/>
      <c r="K34" s="1864"/>
      <c r="L34" s="1865"/>
      <c r="M34" s="1868"/>
    </row>
    <row r="35" spans="1:13" ht="13.5" thickBot="1">
      <c r="A35" s="668"/>
      <c r="B35" s="1897"/>
      <c r="C35" s="1898"/>
      <c r="D35" s="1899"/>
      <c r="E35" s="1900"/>
      <c r="F35" s="1901"/>
      <c r="G35" s="1899"/>
      <c r="H35" s="1900"/>
      <c r="I35" s="1902"/>
      <c r="J35" s="1903"/>
      <c r="K35" s="1899"/>
      <c r="L35" s="1900"/>
      <c r="M35" s="1902"/>
    </row>
    <row r="36" spans="1:13" ht="33.950000000000003" customHeight="1" thickBot="1">
      <c r="A36" s="668">
        <f>A34+1</f>
        <v>95</v>
      </c>
      <c r="B36" s="1862" t="s">
        <v>74</v>
      </c>
      <c r="C36" s="1863"/>
      <c r="D36" s="1864" t="str">
        <f>IF('Copy &amp; Paste'!D118="","",'Copy &amp; Paste'!D118)</f>
        <v/>
      </c>
      <c r="E36" s="1865" t="str">
        <f t="shared" si="3"/>
        <v/>
      </c>
      <c r="F36" s="1680"/>
      <c r="G36" s="1864" t="str">
        <f>IF('Copy &amp; Paste'!E118="","",'Copy &amp; Paste'!E118)</f>
        <v/>
      </c>
      <c r="H36" s="1865" t="str">
        <f>IF(G36="","",(G36/BT_lfd))</f>
        <v/>
      </c>
      <c r="I36" s="1866" t="str">
        <f t="shared" si="1"/>
        <v/>
      </c>
      <c r="J36" s="1867"/>
      <c r="K36" s="1864" t="str">
        <f>IF('Copy &amp; Paste'!F118="","",'Copy &amp; Paste'!F118)</f>
        <v/>
      </c>
      <c r="L36" s="1865" t="str">
        <f>IF(K36="","",K36/BT_pros)</f>
        <v/>
      </c>
      <c r="M36" s="1868" t="str">
        <f t="shared" si="4"/>
        <v/>
      </c>
    </row>
    <row r="37" spans="1:13" ht="13.5" thickBot="1">
      <c r="A37" s="668"/>
      <c r="B37" s="1873"/>
      <c r="C37" s="1874"/>
      <c r="D37" s="1870"/>
      <c r="E37" s="1875"/>
      <c r="F37" s="1876"/>
      <c r="G37" s="1870"/>
      <c r="H37" s="1875"/>
      <c r="I37" s="1877"/>
      <c r="J37" s="1878"/>
      <c r="K37" s="1870"/>
      <c r="L37" s="1875"/>
      <c r="M37" s="1877"/>
    </row>
    <row r="38" spans="1:13" ht="33.950000000000003" customHeight="1" thickBot="1">
      <c r="A38" s="668">
        <f>A36+1</f>
        <v>96</v>
      </c>
      <c r="B38" s="1862" t="s">
        <v>223</v>
      </c>
      <c r="C38" s="1863"/>
      <c r="D38" s="1864" t="str">
        <f>IF('Copy &amp; Paste'!D119="","",'Copy &amp; Paste'!D119)</f>
        <v/>
      </c>
      <c r="E38" s="1865" t="str">
        <f t="shared" si="3"/>
        <v/>
      </c>
      <c r="F38" s="1680"/>
      <c r="G38" s="1864" t="str">
        <f>IF('Copy &amp; Paste'!E119="","",'Copy &amp; Paste'!E119)</f>
        <v/>
      </c>
      <c r="H38" s="1865" t="str">
        <f>IF(G38="","",(G38/BT_lfd))</f>
        <v/>
      </c>
      <c r="I38" s="1866" t="str">
        <f t="shared" si="1"/>
        <v/>
      </c>
      <c r="J38" s="1867"/>
      <c r="K38" s="1864" t="str">
        <f>IF('Copy &amp; Paste'!F119="","",'Copy &amp; Paste'!F119)</f>
        <v/>
      </c>
      <c r="L38" s="1865" t="str">
        <f>IF(K38="","",K38/BT_pros)</f>
        <v/>
      </c>
      <c r="M38" s="1868" t="str">
        <f t="shared" si="4"/>
        <v/>
      </c>
    </row>
    <row r="39" spans="1:13" ht="13.5" thickBot="1">
      <c r="A39" s="668"/>
      <c r="B39" s="1873"/>
      <c r="C39" s="1874"/>
      <c r="D39" s="1870"/>
      <c r="E39" s="1875"/>
      <c r="F39" s="1876"/>
      <c r="G39" s="1870"/>
      <c r="H39" s="1875"/>
      <c r="I39" s="1877"/>
      <c r="J39" s="1878"/>
      <c r="K39" s="1870"/>
      <c r="L39" s="1875"/>
      <c r="M39" s="1877"/>
    </row>
    <row r="40" spans="1:13" ht="33.950000000000003" customHeight="1" thickBot="1">
      <c r="A40" s="668">
        <f>A38+1</f>
        <v>97</v>
      </c>
      <c r="B40" s="1862" t="s">
        <v>1525</v>
      </c>
      <c r="C40" s="1863"/>
      <c r="D40" s="1864" t="str">
        <f>IF('Copy &amp; Paste'!D120="","",'Copy &amp; Paste'!D120)</f>
        <v/>
      </c>
      <c r="E40" s="1865" t="str">
        <f t="shared" si="3"/>
        <v/>
      </c>
      <c r="F40" s="1680"/>
      <c r="G40" s="1864" t="str">
        <f>IF('Copy &amp; Paste'!E120="","",'Copy &amp; Paste'!E120)</f>
        <v/>
      </c>
      <c r="H40" s="1865" t="str">
        <f>IF(G40="","",(G40/BT_lfd))</f>
        <v/>
      </c>
      <c r="I40" s="1866" t="str">
        <f t="shared" si="1"/>
        <v/>
      </c>
      <c r="J40" s="1867"/>
      <c r="K40" s="1864" t="str">
        <f>IF('Copy &amp; Paste'!F120="","",'Copy &amp; Paste'!F120)</f>
        <v/>
      </c>
      <c r="L40" s="1865" t="str">
        <f>IF(K40="","",K40/BT_pros)</f>
        <v/>
      </c>
      <c r="M40" s="1868" t="str">
        <f t="shared" si="4"/>
        <v/>
      </c>
    </row>
    <row r="41" spans="1:13" ht="30.75" customHeight="1" thickBot="1">
      <c r="A41" s="1904"/>
      <c r="B41" s="1905" t="s">
        <v>75</v>
      </c>
      <c r="D41" s="1906"/>
      <c r="E41" s="1907"/>
      <c r="F41" s="1908"/>
      <c r="G41" s="1908"/>
      <c r="H41" s="1907"/>
      <c r="I41" s="1908"/>
      <c r="J41" s="1909"/>
      <c r="K41" s="1908"/>
      <c r="L41" s="1908"/>
      <c r="M41" s="1910"/>
    </row>
    <row r="42" spans="1:13" ht="33.950000000000003" customHeight="1" thickBot="1">
      <c r="A42" s="667">
        <f>A40+1</f>
        <v>98</v>
      </c>
      <c r="B42" s="1911" t="s">
        <v>1526</v>
      </c>
      <c r="C42" s="1912"/>
      <c r="D42" s="1913">
        <f>SUM(D5,D9,D11,D16,D18,D20,D22,D26,D30,D32,D34,D36,D38,D40)</f>
        <v>0</v>
      </c>
      <c r="E42" s="1914" t="e">
        <f t="shared" si="3"/>
        <v>#DIV/0!</v>
      </c>
      <c r="F42" s="402"/>
      <c r="G42" s="1913">
        <f>SUM(G5,G9,G11,G16,G18,G20,G22,G26,G30,G32,G34,G36,G38,G40)</f>
        <v>0</v>
      </c>
      <c r="H42" s="1914" t="e">
        <f>IF(G42="","",(G42/BT_lfd))</f>
        <v>#VALUE!</v>
      </c>
      <c r="I42" s="1915" t="e">
        <f>IF(E42="","",H42/E42-1)</f>
        <v>#DIV/0!</v>
      </c>
      <c r="J42" s="1846"/>
      <c r="K42" s="1913">
        <f>SUM(K5,K9,K11,K16,K18,K20,K22,K26,K30,K32,K34,K36,K38,K40)</f>
        <v>0</v>
      </c>
      <c r="L42" s="1914" t="e">
        <f>IF(K42="","",K42/BT_pros)</f>
        <v>#VALUE!</v>
      </c>
      <c r="M42" s="1915" t="e">
        <f>IF(H42="","",L42/H42-1)</f>
        <v>#VALUE!</v>
      </c>
    </row>
    <row r="43" spans="1:13" ht="8.25" customHeight="1" thickBot="1">
      <c r="A43" s="667"/>
      <c r="B43" s="1916"/>
      <c r="C43" s="1912"/>
      <c r="D43" s="1917"/>
      <c r="E43" s="1907"/>
      <c r="F43" s="402"/>
      <c r="G43" s="1917"/>
      <c r="H43" s="1907"/>
      <c r="I43" s="1918"/>
      <c r="J43" s="1846"/>
      <c r="K43" s="1917"/>
      <c r="L43" s="1919"/>
      <c r="M43" s="1920"/>
    </row>
    <row r="44" spans="1:13" ht="33.950000000000003" customHeight="1" thickBot="1">
      <c r="A44" s="667">
        <f>A42+1</f>
        <v>99</v>
      </c>
      <c r="B44" s="1911" t="s">
        <v>1527</v>
      </c>
      <c r="D44" s="1913">
        <f>Personalkosten!D44</f>
        <v>0</v>
      </c>
      <c r="E44" s="1914" t="e">
        <f t="shared" si="3"/>
        <v>#DIV/0!</v>
      </c>
      <c r="F44" s="402"/>
      <c r="G44" s="1913">
        <f>Personalkosten!E44</f>
        <v>0</v>
      </c>
      <c r="H44" s="1914" t="e">
        <f>IF(G44="","",(G44/BT_lfd))</f>
        <v>#VALUE!</v>
      </c>
      <c r="I44" s="1915" t="e">
        <f>IF(E44="","",H44/E44-1)</f>
        <v>#DIV/0!</v>
      </c>
      <c r="J44" s="1846"/>
      <c r="K44" s="1913">
        <f>Personalkosten!G44</f>
        <v>0</v>
      </c>
      <c r="L44" s="1914" t="e">
        <f>IF(K44="","",K44/BT_pros)</f>
        <v>#VALUE!</v>
      </c>
      <c r="M44" s="1915" t="e">
        <f>IF(H44="","",L44/H44-1)</f>
        <v>#VALUE!</v>
      </c>
    </row>
    <row r="45" spans="1:13" ht="8.25" customHeight="1" thickBot="1">
      <c r="A45" s="402"/>
      <c r="B45" s="402"/>
      <c r="D45" s="402"/>
      <c r="E45" s="1907"/>
      <c r="F45" s="402"/>
      <c r="G45" s="402"/>
      <c r="H45" s="1907"/>
      <c r="I45" s="402"/>
      <c r="J45" s="1846"/>
      <c r="K45" s="402"/>
      <c r="L45" s="402"/>
      <c r="M45" s="1680"/>
    </row>
    <row r="46" spans="1:13" ht="33.950000000000003" customHeight="1" thickBot="1">
      <c r="A46" s="667">
        <f>A44+1</f>
        <v>100</v>
      </c>
      <c r="B46" s="1911" t="s">
        <v>76</v>
      </c>
      <c r="C46" s="1912"/>
      <c r="D46" s="1913">
        <f>IF(AND(D42="",D44=""),"",D44+D42)</f>
        <v>0</v>
      </c>
      <c r="E46" s="1914" t="e">
        <f t="shared" si="3"/>
        <v>#DIV/0!</v>
      </c>
      <c r="F46" s="402"/>
      <c r="G46" s="1913">
        <f>IF(AND(G42="",G44=""),"",G44+G42)</f>
        <v>0</v>
      </c>
      <c r="H46" s="1914" t="e">
        <f>IF(G46="","",(G46/BT_lfd))</f>
        <v>#VALUE!</v>
      </c>
      <c r="I46" s="1915" t="e">
        <f>IF(E46="","",H46/E46-1)</f>
        <v>#DIV/0!</v>
      </c>
      <c r="J46" s="1917"/>
      <c r="K46" s="1913">
        <f>IF(AND(K42="",K44=""),"",K44+K42)</f>
        <v>0</v>
      </c>
      <c r="L46" s="1914" t="e">
        <f>IF(K46="","",K46/BT_pros)</f>
        <v>#VALUE!</v>
      </c>
      <c r="M46" s="1915" t="e">
        <f>IF(H46="","",L46/H46-1)</f>
        <v>#VALUE!</v>
      </c>
    </row>
    <row r="47" spans="1:13">
      <c r="A47" s="402"/>
      <c r="B47" s="1921" t="s">
        <v>77</v>
      </c>
      <c r="C47" s="1922"/>
      <c r="D47" s="1923" t="e">
        <f>D44/D46</f>
        <v>#DIV/0!</v>
      </c>
      <c r="E47" s="1923" t="e">
        <f>E44/E46</f>
        <v>#DIV/0!</v>
      </c>
      <c r="F47" s="402"/>
      <c r="G47" s="1923" t="e">
        <f>G44/G46</f>
        <v>#DIV/0!</v>
      </c>
      <c r="H47" s="1923" t="e">
        <f>H44/H46</f>
        <v>#VALUE!</v>
      </c>
      <c r="I47" s="402"/>
      <c r="K47" s="1924" t="e">
        <f>K44/K46</f>
        <v>#DIV/0!</v>
      </c>
      <c r="L47" s="1924" t="e">
        <f>L44/L46</f>
        <v>#VALUE!</v>
      </c>
      <c r="M47" s="1725"/>
    </row>
    <row r="48" spans="1:13">
      <c r="A48" s="402"/>
      <c r="B48" s="402"/>
      <c r="D48" s="402"/>
      <c r="E48" s="402"/>
      <c r="F48" s="402"/>
      <c r="G48" s="402"/>
      <c r="H48" s="402"/>
      <c r="I48" s="402"/>
      <c r="K48" s="402"/>
      <c r="L48" s="402"/>
      <c r="M48" s="402"/>
    </row>
    <row r="49" spans="1:13" ht="13.5" thickBot="1">
      <c r="A49" s="402"/>
      <c r="B49" s="402"/>
      <c r="D49" s="402"/>
      <c r="E49" s="402"/>
      <c r="F49" s="402"/>
      <c r="G49" s="402"/>
      <c r="H49" s="402"/>
      <c r="I49" s="402"/>
      <c r="K49" s="402"/>
      <c r="L49" s="402"/>
      <c r="M49" s="402"/>
    </row>
    <row r="50" spans="1:13" ht="19.5" thickBot="1">
      <c r="A50" s="402"/>
      <c r="B50" s="1925" t="s">
        <v>891</v>
      </c>
      <c r="D50" s="402"/>
      <c r="E50" s="402"/>
      <c r="F50" s="402"/>
      <c r="G50" s="402"/>
      <c r="H50" s="1926" t="str">
        <f>'Copy &amp; Paste'!H15</f>
        <v>nein</v>
      </c>
      <c r="I50" s="402"/>
      <c r="K50" s="402"/>
      <c r="L50" s="402"/>
      <c r="M50" s="402"/>
    </row>
    <row r="51" spans="1:13">
      <c r="A51" s="402"/>
      <c r="B51" s="402"/>
      <c r="D51" s="402"/>
      <c r="E51" s="402"/>
      <c r="F51" s="402"/>
      <c r="G51" s="402"/>
      <c r="H51" s="402"/>
      <c r="I51" s="402"/>
      <c r="K51" s="402"/>
      <c r="L51" s="402"/>
      <c r="M51" s="402"/>
    </row>
    <row r="52" spans="1:13">
      <c r="A52" s="402"/>
      <c r="B52" s="402"/>
      <c r="D52" s="402"/>
      <c r="E52" s="402"/>
      <c r="F52" s="402"/>
      <c r="G52" s="402"/>
      <c r="H52" s="402"/>
      <c r="I52" s="402"/>
      <c r="K52" s="402"/>
      <c r="L52" s="402"/>
      <c r="M52" s="402"/>
    </row>
    <row r="53" spans="1:13" ht="18.75">
      <c r="A53" s="402"/>
      <c r="B53" s="4346" t="str">
        <f>IF('Copy &amp; Paste'!F8="","",'Copy &amp; Paste'!F8)</f>
        <v/>
      </c>
      <c r="C53" s="4347"/>
      <c r="D53" s="4348"/>
      <c r="E53" s="4351" t="str">
        <f>IF('Copy &amp; Paste'!E8="","",'Copy &amp; Paste'!E8)</f>
        <v/>
      </c>
      <c r="F53" s="4352"/>
      <c r="G53" s="1927">
        <f ca="1">TODAY()</f>
        <v>45750</v>
      </c>
      <c r="H53" s="4351"/>
      <c r="I53" s="4353"/>
      <c r="J53" s="4353"/>
      <c r="K53" s="4352"/>
      <c r="L53" s="1928"/>
      <c r="M53" s="1929"/>
    </row>
    <row r="54" spans="1:13">
      <c r="A54" s="402"/>
      <c r="B54" s="4349" t="s">
        <v>893</v>
      </c>
      <c r="C54" s="4350"/>
      <c r="D54" s="4350"/>
      <c r="E54" s="1930" t="s">
        <v>894</v>
      </c>
      <c r="F54" s="1930"/>
      <c r="G54" s="1931" t="s">
        <v>22</v>
      </c>
      <c r="H54" s="4354" t="s">
        <v>1009</v>
      </c>
      <c r="I54" s="4355"/>
      <c r="J54" s="4355"/>
      <c r="K54" s="4355"/>
      <c r="L54" s="1932" t="s">
        <v>894</v>
      </c>
      <c r="M54" s="1933" t="s">
        <v>22</v>
      </c>
    </row>
    <row r="55" spans="1:13">
      <c r="A55" s="402"/>
      <c r="B55" s="1934"/>
      <c r="D55" s="402"/>
      <c r="E55" s="402"/>
      <c r="F55" s="402"/>
      <c r="G55" s="1935"/>
      <c r="H55" s="1934"/>
      <c r="I55" s="402"/>
      <c r="K55" s="402"/>
      <c r="L55" s="402"/>
      <c r="M55" s="1935"/>
    </row>
    <row r="56" spans="1:13">
      <c r="A56" s="402"/>
      <c r="B56" s="1936" t="s">
        <v>819</v>
      </c>
      <c r="D56" s="402"/>
      <c r="E56" s="402"/>
      <c r="F56" s="402"/>
      <c r="G56" s="1935"/>
      <c r="H56" s="1936"/>
      <c r="I56" s="402"/>
      <c r="K56" s="402"/>
      <c r="L56" s="402"/>
      <c r="M56" s="1935"/>
    </row>
    <row r="57" spans="1:13">
      <c r="A57" s="402"/>
      <c r="B57" s="1936" t="s">
        <v>895</v>
      </c>
      <c r="D57" s="402"/>
      <c r="E57" s="402"/>
      <c r="F57" s="402"/>
      <c r="G57" s="1935"/>
      <c r="H57" s="1936" t="s">
        <v>1010</v>
      </c>
      <c r="I57" s="402"/>
      <c r="K57" s="402"/>
      <c r="L57" s="402"/>
      <c r="M57" s="1935"/>
    </row>
    <row r="58" spans="1:13">
      <c r="A58" s="402"/>
      <c r="B58" s="1934"/>
      <c r="D58" s="402"/>
      <c r="E58" s="402"/>
      <c r="F58" s="402"/>
      <c r="G58" s="1935"/>
      <c r="H58" s="1934"/>
      <c r="I58" s="402"/>
      <c r="K58" s="402"/>
      <c r="L58" s="402"/>
      <c r="M58" s="1935"/>
    </row>
    <row r="59" spans="1:13">
      <c r="A59" s="402"/>
      <c r="B59" s="1934"/>
      <c r="D59" s="402"/>
      <c r="E59" s="402"/>
      <c r="F59" s="402"/>
      <c r="G59" s="1935"/>
      <c r="H59" s="1934"/>
      <c r="I59" s="402"/>
      <c r="K59" s="402"/>
      <c r="L59" s="402"/>
      <c r="M59" s="1935"/>
    </row>
    <row r="60" spans="1:13">
      <c r="A60" s="402"/>
      <c r="B60" s="1934"/>
      <c r="D60" s="402"/>
      <c r="E60" s="402"/>
      <c r="F60" s="402"/>
      <c r="G60" s="1935"/>
      <c r="H60" s="1934"/>
      <c r="I60" s="402"/>
      <c r="K60" s="402"/>
      <c r="L60" s="402"/>
      <c r="M60" s="1935"/>
    </row>
    <row r="61" spans="1:13" ht="18.75">
      <c r="A61" s="402"/>
      <c r="B61" s="1937"/>
      <c r="D61" s="402"/>
      <c r="E61" s="402"/>
      <c r="F61" s="402"/>
      <c r="G61" s="1935"/>
      <c r="H61" s="1934"/>
      <c r="I61" s="402"/>
      <c r="K61" s="402"/>
      <c r="L61" s="402"/>
      <c r="M61" s="1935"/>
    </row>
    <row r="62" spans="1:13">
      <c r="A62" s="402"/>
      <c r="B62" s="1934"/>
      <c r="D62" s="402"/>
      <c r="E62" s="402"/>
      <c r="F62" s="402"/>
      <c r="G62" s="1935"/>
      <c r="H62" s="1934"/>
      <c r="I62" s="402"/>
      <c r="K62" s="402"/>
      <c r="L62" s="402"/>
      <c r="M62" s="1935"/>
    </row>
    <row r="63" spans="1:13" ht="18.75">
      <c r="A63" s="402"/>
      <c r="B63" s="1934"/>
      <c r="D63" s="402"/>
      <c r="E63" s="1938"/>
      <c r="F63" s="1938"/>
      <c r="G63" s="1939"/>
      <c r="H63" s="1940"/>
      <c r="I63" s="1941"/>
      <c r="J63" s="1941"/>
      <c r="K63" s="1942"/>
      <c r="L63" s="1942"/>
      <c r="M63" s="1943"/>
    </row>
    <row r="64" spans="1:13" ht="21" customHeight="1">
      <c r="A64" s="402"/>
      <c r="B64" s="1944"/>
      <c r="C64" s="1945"/>
      <c r="D64" s="1945"/>
      <c r="E64" s="1946"/>
      <c r="F64" s="1946"/>
      <c r="G64" s="1947"/>
      <c r="H64" s="1948"/>
      <c r="I64" s="1945"/>
      <c r="J64" s="1945"/>
      <c r="K64" s="1949"/>
      <c r="L64" s="1949"/>
      <c r="M64" s="1950"/>
    </row>
  </sheetData>
  <sheetProtection selectLockedCells="1"/>
  <mergeCells count="8">
    <mergeCell ref="K1:M1"/>
    <mergeCell ref="G1:I1"/>
    <mergeCell ref="D1:E1"/>
    <mergeCell ref="B53:D53"/>
    <mergeCell ref="B54:D54"/>
    <mergeCell ref="E53:F53"/>
    <mergeCell ref="H53:K53"/>
    <mergeCell ref="H54:K54"/>
  </mergeCells>
  <phoneticPr fontId="0" type="noConversion"/>
  <conditionalFormatting sqref="H50">
    <cfRule type="cellIs" dxfId="385" priority="24" operator="equal">
      <formula>0</formula>
    </cfRule>
  </conditionalFormatting>
  <conditionalFormatting sqref="D42 G42 K42">
    <cfRule type="cellIs" dxfId="384" priority="23" operator="equal">
      <formula>0</formula>
    </cfRule>
  </conditionalFormatting>
  <conditionalFormatting sqref="E42 H42 L42">
    <cfRule type="cellIs" dxfId="383" priority="22" operator="equal">
      <formula>0</formula>
    </cfRule>
  </conditionalFormatting>
  <conditionalFormatting sqref="K23">
    <cfRule type="cellIs" dxfId="382" priority="21" operator="equal">
      <formula>0</formula>
    </cfRule>
  </conditionalFormatting>
  <conditionalFormatting sqref="L23">
    <cfRule type="cellIs" dxfId="381" priority="20" operator="equal">
      <formula>0</formula>
    </cfRule>
  </conditionalFormatting>
  <conditionalFormatting sqref="M23">
    <cfRule type="containsErrors" dxfId="380" priority="16">
      <formula>ISERROR(M23)</formula>
    </cfRule>
    <cfRule type="cellIs" dxfId="379" priority="19" operator="equal">
      <formula>-1</formula>
    </cfRule>
  </conditionalFormatting>
  <conditionalFormatting sqref="M6">
    <cfRule type="containsErrors" dxfId="378" priority="18">
      <formula>ISERROR(M6)</formula>
    </cfRule>
  </conditionalFormatting>
  <conditionalFormatting sqref="M12:M13">
    <cfRule type="containsErrors" dxfId="377" priority="17">
      <formula>ISERROR(M12)</formula>
    </cfRule>
  </conditionalFormatting>
  <conditionalFormatting sqref="M27">
    <cfRule type="containsErrors" dxfId="376" priority="15">
      <formula>ISERROR(M27)</formula>
    </cfRule>
  </conditionalFormatting>
  <conditionalFormatting sqref="I27">
    <cfRule type="containsErrors" dxfId="375" priority="14">
      <formula>ISERROR(I27)</formula>
    </cfRule>
  </conditionalFormatting>
  <conditionalFormatting sqref="I5:I7 I9 I11:I14 I16 I18 I20 I22:I24 I26:I28 I30 I32 I34 I36 I38 I40">
    <cfRule type="containsErrors" dxfId="374" priority="13">
      <formula>ISERROR(I5)</formula>
    </cfRule>
  </conditionalFormatting>
  <conditionalFormatting sqref="L5:M7 L9:M9 L11:M14 L16:M16 L18:M18 L20:M20 L22:M24 L26:M28 L30:M30 L32:M32 L34:M34 L36:M36 L38:M38 L40:M40">
    <cfRule type="containsErrors" dxfId="373" priority="12">
      <formula>ISERROR(L5)</formula>
    </cfRule>
  </conditionalFormatting>
  <conditionalFormatting sqref="D7:E7 G7:H7 K7 D14:E14 G14:H14 K14 D24:E24 G24:H24 K24 D28:E28 G28:H28 K28 E42 H42:I42 L42:M42 D46:E47 G46:I46 K46:M46 G47:H47 K47:L47">
    <cfRule type="containsErrors" dxfId="372" priority="11">
      <formula>ISERROR(D7)</formula>
    </cfRule>
  </conditionalFormatting>
  <conditionalFormatting sqref="K6 K12:K13 K27">
    <cfRule type="cellIs" dxfId="371" priority="10" operator="equal">
      <formula>0</formula>
    </cfRule>
  </conditionalFormatting>
  <conditionalFormatting sqref="L6 L12:L13 L27">
    <cfRule type="cellIs" dxfId="370" priority="9" operator="equal">
      <formula>0</formula>
    </cfRule>
  </conditionalFormatting>
  <conditionalFormatting sqref="D6:E6 G6:H6 D12:E13 G12:H13 D23:E23 G23:H23 D27:E27 G27:H27">
    <cfRule type="cellIs" dxfId="369" priority="8" operator="equal">
      <formula>0</formula>
    </cfRule>
  </conditionalFormatting>
  <conditionalFormatting sqref="E13 H13 E23 H23 E27 H27">
    <cfRule type="containsErrors" dxfId="368" priority="7">
      <formula>ISERROR(E13)</formula>
    </cfRule>
  </conditionalFormatting>
  <conditionalFormatting sqref="E6 H6 E12 H12">
    <cfRule type="containsErrors" dxfId="367" priority="6">
      <formula>ISERROR(E6)</formula>
    </cfRule>
  </conditionalFormatting>
  <conditionalFormatting sqref="I44">
    <cfRule type="containsErrors" dxfId="366" priority="5">
      <formula>ISERROR(I44)</formula>
    </cfRule>
  </conditionalFormatting>
  <conditionalFormatting sqref="I5:I7 M5:M7 I9 M9 I11:I14 M11:M14 I16 M16 I18 M18 I20 M20 I22:I24 M22:M24 I26:I28 M26:M28 I30 M30 I32 M32 I34 M34 I36 M36 I38 M38 I40 M40">
    <cfRule type="cellIs" dxfId="365" priority="4" operator="equal">
      <formula>-1</formula>
    </cfRule>
  </conditionalFormatting>
  <conditionalFormatting sqref="I5:I7 M5:M7 I9 M9 I11:I14 M11:M14 I16 M16 I18 M18 I20 M20 I22:I24 M22:M24 I26:I28 M26:M28 I30 M30 I32 M32 I34 M34 I36 M36 I38 M38 I40 M40 I42 M42 I44 M44 I46 M46">
    <cfRule type="cellIs" dxfId="364" priority="1" operator="equal">
      <formula>0</formula>
    </cfRule>
  </conditionalFormatting>
  <printOptions horizontalCentered="1" gridLinesSet="0"/>
  <pageMargins left="0.19685039370078741" right="0.23622047244094491" top="0.23622047244094491" bottom="0.39370078740157483" header="0.23622047244094491" footer="0.15748031496062992"/>
  <pageSetup paperSize="9" scale="51" orientation="portrait" horizontalDpi="4294967292"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pageSetUpPr fitToPage="1"/>
  </sheetPr>
  <dimension ref="A1:K84"/>
  <sheetViews>
    <sheetView showGridLines="0" zoomScale="120" zoomScaleNormal="120" workbookViewId="0">
      <selection activeCell="C1" sqref="C1:G1"/>
    </sheetView>
  </sheetViews>
  <sheetFormatPr baseColWidth="10" defaultColWidth="11.5703125" defaultRowHeight="15"/>
  <cols>
    <col min="1" max="1" width="4.140625" style="3084" customWidth="1"/>
    <col min="2" max="2" width="18" style="3084" customWidth="1"/>
    <col min="3" max="3" width="14.140625" style="3084" customWidth="1"/>
    <col min="4" max="4" width="14.5703125" style="3084" customWidth="1"/>
    <col min="5" max="5" width="13.85546875" style="3084" customWidth="1"/>
    <col min="6" max="6" width="14.28515625" style="3084" customWidth="1"/>
    <col min="7" max="7" width="15.85546875" style="3084" customWidth="1"/>
    <col min="8" max="9" width="11.5703125" style="3084"/>
    <col min="10" max="10" width="17.28515625" style="3084" bestFit="1" customWidth="1"/>
    <col min="11" max="16384" width="11.5703125" style="3084"/>
  </cols>
  <sheetData>
    <row r="1" spans="1:7" s="3164" customFormat="1" ht="21" thickBot="1">
      <c r="A1" s="3232"/>
      <c r="B1" s="3231" t="s">
        <v>1963</v>
      </c>
      <c r="C1" s="3230">
        <v>44624</v>
      </c>
      <c r="D1" s="3229"/>
      <c r="E1" s="3229"/>
      <c r="F1" s="3229"/>
      <c r="G1" s="3228"/>
    </row>
    <row r="2" spans="1:7" s="3164" customFormat="1" ht="15.75" customHeight="1">
      <c r="A2" s="4363" t="s">
        <v>1962</v>
      </c>
      <c r="B2" s="4364"/>
      <c r="C2" s="4364"/>
      <c r="D2" s="4364"/>
      <c r="E2" s="4364"/>
      <c r="F2" s="4364"/>
      <c r="G2" s="4365"/>
    </row>
    <row r="3" spans="1:7" s="3164" customFormat="1" ht="34.5" customHeight="1">
      <c r="A3" s="4366"/>
      <c r="B3" s="4367"/>
      <c r="C3" s="4367"/>
      <c r="D3" s="4367"/>
      <c r="E3" s="4367"/>
      <c r="F3" s="4367"/>
      <c r="G3" s="4368"/>
    </row>
    <row r="4" spans="1:7" s="3164" customFormat="1" ht="15.75" customHeight="1" thickBot="1">
      <c r="A4" s="4369"/>
      <c r="B4" s="4370"/>
      <c r="C4" s="4370"/>
      <c r="D4" s="4370"/>
      <c r="E4" s="4370"/>
      <c r="F4" s="4370"/>
      <c r="G4" s="4371"/>
    </row>
    <row r="5" spans="1:7" s="3164" customFormat="1" ht="18.75">
      <c r="A5" s="3178"/>
      <c r="B5" s="3222"/>
      <c r="C5" s="3222"/>
      <c r="D5" s="4372" t="s">
        <v>834</v>
      </c>
      <c r="E5" s="4373"/>
      <c r="F5" s="4374">
        <f>'Copy &amp; Paste'!G13</f>
        <v>0</v>
      </c>
      <c r="G5" s="4375"/>
    </row>
    <row r="6" spans="1:7" s="3164" customFormat="1" ht="15.75">
      <c r="A6" s="3178"/>
      <c r="B6" s="3227" t="s">
        <v>1961</v>
      </c>
      <c r="C6" s="3108"/>
      <c r="D6" s="3226" t="s">
        <v>1960</v>
      </c>
      <c r="E6" s="3225"/>
      <c r="F6" s="3225"/>
      <c r="G6" s="3224"/>
    </row>
    <row r="7" spans="1:7" s="3164" customFormat="1" ht="15.75">
      <c r="A7" s="3223"/>
      <c r="B7" s="3233">
        <f>'Copy &amp; Paste'!H11</f>
        <v>0</v>
      </c>
      <c r="C7" s="3222"/>
      <c r="D7" s="4376" t="str">
        <f>CONCATENATE('Copy &amp; Paste'!B5,", ",'Copy &amp; Paste'!B7,", ",'Copy &amp; Paste'!B8," ",'Copy &amp; Paste'!C8)</f>
        <v xml:space="preserve">, ,  </v>
      </c>
      <c r="E7" s="4377"/>
      <c r="F7" s="4377"/>
      <c r="G7" s="4378"/>
    </row>
    <row r="8" spans="1:7" s="3164" customFormat="1">
      <c r="A8" s="3221" t="s">
        <v>1959</v>
      </c>
      <c r="B8" s="3108"/>
      <c r="C8" s="3108"/>
      <c r="D8" s="3108"/>
      <c r="E8" s="3108"/>
      <c r="F8" s="3108"/>
      <c r="G8" s="3165"/>
    </row>
    <row r="9" spans="1:7" s="3164" customFormat="1">
      <c r="A9" s="3220" t="s">
        <v>1958</v>
      </c>
      <c r="B9" s="3108" t="s">
        <v>1957</v>
      </c>
      <c r="C9" s="3108"/>
      <c r="D9" s="3108"/>
      <c r="E9" s="3108"/>
      <c r="F9" s="3108"/>
      <c r="G9" s="3165"/>
    </row>
    <row r="10" spans="1:7" s="3164" customFormat="1" ht="7.5" customHeight="1" thickBot="1">
      <c r="A10" s="3168"/>
      <c r="B10" s="3108"/>
      <c r="C10" s="3108"/>
      <c r="D10" s="3108"/>
      <c r="E10" s="3108"/>
      <c r="F10" s="3108"/>
      <c r="G10" s="3165"/>
    </row>
    <row r="11" spans="1:7" s="3164" customFormat="1" ht="31.5" customHeight="1" thickBot="1">
      <c r="A11" s="3152" t="s">
        <v>1956</v>
      </c>
      <c r="B11" s="4361" t="s">
        <v>1955</v>
      </c>
      <c r="C11" s="4361"/>
      <c r="D11" s="4361"/>
      <c r="E11" s="4361"/>
      <c r="F11" s="4361"/>
      <c r="G11" s="4362"/>
    </row>
    <row r="12" spans="1:7" s="3164" customFormat="1" ht="6.6" customHeight="1">
      <c r="A12" s="3168"/>
      <c r="B12" s="3108"/>
      <c r="C12" s="3108"/>
      <c r="D12" s="3108"/>
      <c r="E12" s="3108"/>
      <c r="F12" s="3108"/>
      <c r="G12" s="3165"/>
    </row>
    <row r="13" spans="1:7" s="3164" customFormat="1">
      <c r="A13" s="3168"/>
      <c r="B13" s="3108" t="s">
        <v>1</v>
      </c>
      <c r="C13" s="3219"/>
      <c r="D13" s="3108"/>
      <c r="E13" s="3108"/>
      <c r="F13" s="3108"/>
      <c r="G13" s="3165"/>
    </row>
    <row r="14" spans="1:7" s="3164" customFormat="1">
      <c r="A14" s="3168"/>
      <c r="B14" s="3108" t="s">
        <v>2</v>
      </c>
      <c r="C14" s="3219"/>
      <c r="D14" s="3108"/>
      <c r="E14" s="3108"/>
      <c r="F14" s="3108"/>
      <c r="G14" s="3165"/>
    </row>
    <row r="15" spans="1:7" s="3164" customFormat="1">
      <c r="A15" s="3168"/>
      <c r="B15" s="3108" t="s">
        <v>3</v>
      </c>
      <c r="C15" s="3219"/>
      <c r="D15" s="3108"/>
      <c r="E15" s="3108"/>
      <c r="F15" s="3108"/>
      <c r="G15" s="3165"/>
    </row>
    <row r="16" spans="1:7" s="3164" customFormat="1">
      <c r="A16" s="3168"/>
      <c r="B16" s="3108" t="s">
        <v>4</v>
      </c>
      <c r="C16" s="3219"/>
      <c r="D16" s="3108"/>
      <c r="E16" s="3108"/>
      <c r="F16" s="3108"/>
      <c r="G16" s="3165"/>
    </row>
    <row r="17" spans="1:7" s="3164" customFormat="1">
      <c r="A17" s="3168"/>
      <c r="B17" s="3108" t="s">
        <v>5</v>
      </c>
      <c r="C17" s="3218"/>
      <c r="D17" s="3108"/>
      <c r="E17" s="3108"/>
      <c r="F17" s="3108"/>
      <c r="G17" s="3165"/>
    </row>
    <row r="18" spans="1:7" s="3164" customFormat="1" ht="15.75" thickBot="1">
      <c r="A18" s="3168"/>
      <c r="B18" s="3215" t="s">
        <v>1954</v>
      </c>
      <c r="C18" s="3217">
        <f>SUM(C13:C17)</f>
        <v>0</v>
      </c>
      <c r="D18" s="3108"/>
      <c r="E18" s="3108"/>
      <c r="F18" s="3108"/>
      <c r="G18" s="3165"/>
    </row>
    <row r="19" spans="1:7" s="3164" customFormat="1" ht="15.75" thickTop="1">
      <c r="A19" s="3168"/>
      <c r="B19" s="3108" t="s">
        <v>241</v>
      </c>
      <c r="C19" s="3216">
        <f>B7</f>
        <v>0</v>
      </c>
      <c r="D19" s="3108"/>
      <c r="E19" s="3108"/>
      <c r="F19" s="3108"/>
      <c r="G19" s="3165"/>
    </row>
    <row r="20" spans="1:7" s="3164" customFormat="1" ht="15.75" thickBot="1">
      <c r="A20" s="3168"/>
      <c r="B20" s="3215" t="s">
        <v>1953</v>
      </c>
      <c r="C20" s="3214" t="e">
        <f>+C18/C19</f>
        <v>#DIV/0!</v>
      </c>
      <c r="D20" s="3108"/>
      <c r="E20" s="3108"/>
      <c r="F20" s="3108"/>
      <c r="G20" s="3165"/>
    </row>
    <row r="21" spans="1:7" s="3164" customFormat="1" ht="34.5" customHeight="1" thickBot="1">
      <c r="A21" s="3152" t="s">
        <v>325</v>
      </c>
      <c r="B21" s="4361" t="s">
        <v>1952</v>
      </c>
      <c r="C21" s="4361"/>
      <c r="D21" s="4361"/>
      <c r="E21" s="4361"/>
      <c r="F21" s="4361"/>
      <c r="G21" s="4362"/>
    </row>
    <row r="22" spans="1:7" s="3164" customFormat="1" ht="6" customHeight="1">
      <c r="A22" s="3168"/>
      <c r="B22" s="3108"/>
      <c r="C22" s="3108"/>
      <c r="D22" s="3108"/>
      <c r="E22" s="3108"/>
      <c r="F22" s="3108"/>
      <c r="G22" s="3165"/>
    </row>
    <row r="23" spans="1:7" s="3164" customFormat="1">
      <c r="A23" s="3207" t="s">
        <v>1951</v>
      </c>
      <c r="B23" s="3108" t="s">
        <v>1950</v>
      </c>
      <c r="C23" s="3213"/>
      <c r="D23" s="3108"/>
      <c r="E23" s="3108"/>
      <c r="F23" s="3108"/>
      <c r="G23" s="3165"/>
    </row>
    <row r="24" spans="1:7" s="3164" customFormat="1">
      <c r="A24" s="3207" t="s">
        <v>1949</v>
      </c>
      <c r="B24" s="3108" t="s">
        <v>1948</v>
      </c>
      <c r="C24" s="3212"/>
      <c r="D24" s="3108"/>
      <c r="E24" s="3108"/>
      <c r="F24" s="3108"/>
      <c r="G24" s="3165"/>
    </row>
    <row r="25" spans="1:7" s="3164" customFormat="1" ht="15.75" thickBot="1">
      <c r="A25" s="3207" t="s">
        <v>1947</v>
      </c>
      <c r="B25" s="3108"/>
      <c r="C25" s="3211">
        <f>SUM(C23:C24)</f>
        <v>0</v>
      </c>
      <c r="D25" s="3108"/>
      <c r="E25" s="3108"/>
      <c r="F25" s="3108"/>
      <c r="G25" s="3165"/>
    </row>
    <row r="26" spans="1:7" s="3164" customFormat="1" ht="6.75" customHeight="1" thickTop="1" thickBot="1">
      <c r="A26" s="3168"/>
      <c r="B26" s="3108"/>
      <c r="C26" s="3108"/>
      <c r="D26" s="3108"/>
      <c r="E26" s="3108"/>
      <c r="F26" s="3108"/>
      <c r="G26" s="3165"/>
    </row>
    <row r="27" spans="1:7" s="3164" customFormat="1" ht="16.5" thickBot="1">
      <c r="A27" s="3152" t="s">
        <v>326</v>
      </c>
      <c r="B27" s="3150" t="s">
        <v>1946</v>
      </c>
      <c r="C27" s="3150"/>
      <c r="D27" s="3150"/>
      <c r="E27" s="3150"/>
      <c r="F27" s="3150"/>
      <c r="G27" s="3210"/>
    </row>
    <row r="28" spans="1:7" s="3164" customFormat="1" ht="7.9" customHeight="1">
      <c r="A28" s="3168"/>
      <c r="B28" s="3108"/>
      <c r="C28" s="3108"/>
      <c r="D28" s="3108"/>
      <c r="E28" s="3108"/>
      <c r="F28" s="3108"/>
      <c r="G28" s="3165"/>
    </row>
    <row r="29" spans="1:7" s="3164" customFormat="1">
      <c r="A29" s="3207" t="s">
        <v>1945</v>
      </c>
      <c r="B29" s="3206">
        <f>+C25</f>
        <v>0</v>
      </c>
      <c r="C29" s="3209">
        <v>1.0680000000000001</v>
      </c>
      <c r="D29" s="3204" t="s">
        <v>1940</v>
      </c>
      <c r="E29" s="3143" t="s">
        <v>1944</v>
      </c>
      <c r="F29" s="3143"/>
      <c r="G29" s="3203"/>
    </row>
    <row r="30" spans="1:7" s="3164" customFormat="1">
      <c r="A30" s="3207" t="s">
        <v>1943</v>
      </c>
      <c r="B30" s="3206">
        <f>+B29/C29</f>
        <v>0</v>
      </c>
      <c r="C30" s="3208">
        <v>1</v>
      </c>
      <c r="D30" s="3143" t="s">
        <v>1942</v>
      </c>
      <c r="E30" s="3108"/>
      <c r="F30" s="3108"/>
      <c r="G30" s="3165"/>
    </row>
    <row r="31" spans="1:7" s="3164" customFormat="1">
      <c r="A31" s="3207" t="s">
        <v>1941</v>
      </c>
      <c r="B31" s="3206">
        <f>+B29-B30</f>
        <v>0</v>
      </c>
      <c r="C31" s="3205" t="e">
        <f>+B31/B30</f>
        <v>#DIV/0!</v>
      </c>
      <c r="D31" s="3204" t="s">
        <v>1940</v>
      </c>
      <c r="E31" s="3143" t="s">
        <v>1939</v>
      </c>
      <c r="F31" s="3143"/>
      <c r="G31" s="3203"/>
    </row>
    <row r="32" spans="1:7" s="3164" customFormat="1">
      <c r="A32" s="3168"/>
      <c r="B32" s="3108"/>
      <c r="C32" s="3108"/>
      <c r="D32" s="3108"/>
      <c r="E32" s="3108"/>
      <c r="F32" s="3108"/>
      <c r="G32" s="3165"/>
    </row>
    <row r="33" spans="1:11" s="3198" customFormat="1" ht="21" customHeight="1" thickBot="1">
      <c r="A33" s="3202"/>
      <c r="B33" s="3201"/>
      <c r="C33" s="3200"/>
      <c r="D33" s="3200"/>
      <c r="E33" s="3200"/>
      <c r="F33" s="3200"/>
      <c r="G33" s="3199"/>
      <c r="H33" s="3164"/>
      <c r="I33" s="3164"/>
      <c r="J33" s="3164"/>
      <c r="K33" s="3164"/>
    </row>
    <row r="34" spans="1:11" s="3164" customFormat="1" ht="24.75" thickBot="1">
      <c r="A34" s="3168"/>
      <c r="B34" s="3108"/>
      <c r="C34" s="3197" t="s">
        <v>1930</v>
      </c>
      <c r="D34" s="3196" t="s">
        <v>1938</v>
      </c>
      <c r="E34" s="3195" t="s">
        <v>1937</v>
      </c>
      <c r="F34" s="3195" t="s">
        <v>1936</v>
      </c>
      <c r="G34" s="3165"/>
    </row>
    <row r="35" spans="1:11" s="3164" customFormat="1">
      <c r="A35" s="3168"/>
      <c r="B35" s="3194" t="s">
        <v>811</v>
      </c>
      <c r="C35" s="3194">
        <v>8</v>
      </c>
      <c r="D35" s="3193">
        <f>1/C35</f>
        <v>0.125</v>
      </c>
      <c r="E35" s="3192">
        <f>+C13</f>
        <v>0</v>
      </c>
      <c r="F35" s="3191">
        <f>+D35*E35</f>
        <v>0</v>
      </c>
      <c r="G35" s="3165"/>
    </row>
    <row r="36" spans="1:11" s="3164" customFormat="1">
      <c r="A36" s="3168"/>
      <c r="B36" s="3190" t="s">
        <v>812</v>
      </c>
      <c r="C36" s="3190">
        <v>4.66</v>
      </c>
      <c r="D36" s="3189">
        <f>1/C36</f>
        <v>0.215</v>
      </c>
      <c r="E36" s="3188">
        <f>+C14</f>
        <v>0</v>
      </c>
      <c r="F36" s="3187">
        <f>+D36*E36</f>
        <v>0</v>
      </c>
      <c r="G36" s="3165"/>
    </row>
    <row r="37" spans="1:11" s="3164" customFormat="1">
      <c r="A37" s="3168"/>
      <c r="B37" s="3190" t="s">
        <v>813</v>
      </c>
      <c r="C37" s="3190">
        <v>3.05</v>
      </c>
      <c r="D37" s="3189">
        <f>1/C37</f>
        <v>0.32800000000000001</v>
      </c>
      <c r="E37" s="3188">
        <f>+C15</f>
        <v>0</v>
      </c>
      <c r="F37" s="3187">
        <f>+D37*E37</f>
        <v>0</v>
      </c>
      <c r="G37" s="3165"/>
    </row>
    <row r="38" spans="1:11" s="3164" customFormat="1">
      <c r="A38" s="3168"/>
      <c r="B38" s="3190" t="s">
        <v>814</v>
      </c>
      <c r="C38" s="3190">
        <v>2.2400000000000002</v>
      </c>
      <c r="D38" s="3189">
        <f>1/C38</f>
        <v>0.44600000000000001</v>
      </c>
      <c r="E38" s="3188">
        <f>+C16</f>
        <v>0</v>
      </c>
      <c r="F38" s="3187">
        <f>+D38*E38</f>
        <v>0</v>
      </c>
      <c r="G38" s="3165"/>
    </row>
    <row r="39" spans="1:11" s="3164" customFormat="1" ht="15.75" thickBot="1">
      <c r="A39" s="3168"/>
      <c r="B39" s="3186" t="s">
        <v>815</v>
      </c>
      <c r="C39" s="3186">
        <v>2</v>
      </c>
      <c r="D39" s="3185">
        <f>1/C39</f>
        <v>0.5</v>
      </c>
      <c r="E39" s="3184">
        <f>+C17</f>
        <v>0</v>
      </c>
      <c r="F39" s="3183">
        <f>+D39*E39</f>
        <v>0</v>
      </c>
      <c r="G39" s="3165"/>
    </row>
    <row r="40" spans="1:11" s="3164" customFormat="1">
      <c r="A40" s="3168"/>
      <c r="B40" s="3143"/>
      <c r="C40" s="3143"/>
      <c r="D40" s="3143"/>
      <c r="E40" s="3182" t="s">
        <v>1935</v>
      </c>
      <c r="F40" s="3181">
        <f>SUM(F35:F39)</f>
        <v>0</v>
      </c>
      <c r="G40" s="3165"/>
    </row>
    <row r="41" spans="1:11" s="3164" customFormat="1" ht="15.75">
      <c r="A41" s="3168"/>
      <c r="B41" s="3108"/>
      <c r="C41" s="3108"/>
      <c r="D41" s="3108"/>
      <c r="E41" s="3153" t="s">
        <v>1934</v>
      </c>
      <c r="F41" s="3180">
        <f>+C25-F40-B31</f>
        <v>0</v>
      </c>
      <c r="G41" s="3179" t="e">
        <f>+F41/F40</f>
        <v>#DIV/0!</v>
      </c>
      <c r="H41" s="3108"/>
      <c r="I41" s="3153"/>
    </row>
    <row r="42" spans="1:11" s="3164" customFormat="1" ht="16.5" thickBot="1">
      <c r="A42" s="3178"/>
      <c r="B42" s="3175"/>
      <c r="C42" s="3175"/>
      <c r="D42" s="3108"/>
      <c r="E42" s="3153" t="s">
        <v>1933</v>
      </c>
      <c r="F42" s="3177">
        <f>+F41+F40</f>
        <v>0</v>
      </c>
      <c r="G42" s="3165"/>
      <c r="H42" s="3108"/>
    </row>
    <row r="43" spans="1:11" s="3164" customFormat="1" ht="12.75" customHeight="1" thickTop="1" thickBot="1">
      <c r="A43" s="3168"/>
      <c r="B43" s="3176" t="s">
        <v>1932</v>
      </c>
      <c r="C43" s="3108"/>
      <c r="D43" s="3143"/>
      <c r="E43" s="3108"/>
      <c r="F43" s="3175"/>
      <c r="G43" s="3174"/>
    </row>
    <row r="44" spans="1:11" s="3164" customFormat="1" ht="35.25" customHeight="1" thickBot="1">
      <c r="A44" s="3152" t="s">
        <v>328</v>
      </c>
      <c r="B44" s="3150" t="s">
        <v>1931</v>
      </c>
      <c r="C44" s="3150"/>
      <c r="D44" s="3150"/>
      <c r="E44" s="3150"/>
      <c r="F44" s="3173"/>
      <c r="G44" s="3172"/>
    </row>
    <row r="45" spans="1:11" s="3164" customFormat="1" ht="47.25">
      <c r="A45" s="3168"/>
      <c r="B45" s="3108"/>
      <c r="C45" s="3171" t="s">
        <v>1930</v>
      </c>
      <c r="D45" s="3170" t="s">
        <v>1929</v>
      </c>
      <c r="E45" s="3169" t="s">
        <v>1925</v>
      </c>
      <c r="F45" s="3108"/>
      <c r="G45" s="3165"/>
    </row>
    <row r="46" spans="1:11" s="3164" customFormat="1" ht="16.5" thickBot="1">
      <c r="A46" s="3168"/>
      <c r="B46" s="3108"/>
      <c r="C46" s="3167"/>
      <c r="D46" s="3166" t="e">
        <f>G41</f>
        <v>#DIV/0!</v>
      </c>
      <c r="E46" s="3166"/>
      <c r="F46" s="3108"/>
      <c r="G46" s="3165"/>
    </row>
    <row r="47" spans="1:11" ht="15.75">
      <c r="A47" s="3090"/>
      <c r="B47" s="3139" t="s">
        <v>811</v>
      </c>
      <c r="C47" s="3163">
        <f>D35</f>
        <v>0.125</v>
      </c>
      <c r="D47" s="3162" t="e">
        <f>+D35*(1+$G$41)</f>
        <v>#DIV/0!</v>
      </c>
      <c r="E47" s="3161" t="e">
        <f>1/D47</f>
        <v>#DIV/0!</v>
      </c>
      <c r="F47" s="3089"/>
      <c r="G47" s="3088"/>
    </row>
    <row r="48" spans="1:11" ht="15.75">
      <c r="A48" s="3090"/>
      <c r="B48" s="3135" t="s">
        <v>812</v>
      </c>
      <c r="C48" s="3160">
        <f>D36</f>
        <v>0.215</v>
      </c>
      <c r="D48" s="3159" t="e">
        <f>+D36*(1+$G$41)</f>
        <v>#DIV/0!</v>
      </c>
      <c r="E48" s="3158" t="e">
        <f>1/D48</f>
        <v>#DIV/0!</v>
      </c>
      <c r="F48" s="3089"/>
      <c r="G48" s="3088"/>
    </row>
    <row r="49" spans="1:8" ht="15.75">
      <c r="A49" s="3090"/>
      <c r="B49" s="3135" t="s">
        <v>813</v>
      </c>
      <c r="C49" s="3160">
        <f>D37</f>
        <v>0.32800000000000001</v>
      </c>
      <c r="D49" s="3159" t="e">
        <f>+D37*(1+$G$41)</f>
        <v>#DIV/0!</v>
      </c>
      <c r="E49" s="3158" t="e">
        <f>1/D49</f>
        <v>#DIV/0!</v>
      </c>
      <c r="F49" s="3089"/>
      <c r="G49" s="3088"/>
    </row>
    <row r="50" spans="1:8" ht="15.75">
      <c r="A50" s="3090"/>
      <c r="B50" s="3135" t="s">
        <v>814</v>
      </c>
      <c r="C50" s="3160">
        <f>D38</f>
        <v>0.44600000000000001</v>
      </c>
      <c r="D50" s="3159" t="e">
        <f>+D38*(1+$G$41)</f>
        <v>#DIV/0!</v>
      </c>
      <c r="E50" s="3158" t="e">
        <f>1/D50</f>
        <v>#DIV/0!</v>
      </c>
      <c r="F50" s="3089"/>
      <c r="G50" s="3088"/>
    </row>
    <row r="51" spans="1:8" ht="16.5" thickBot="1">
      <c r="A51" s="3090"/>
      <c r="B51" s="3131" t="s">
        <v>815</v>
      </c>
      <c r="C51" s="3157">
        <f>D39</f>
        <v>0.5</v>
      </c>
      <c r="D51" s="3156" t="e">
        <f>+D39*(1+$G$41)</f>
        <v>#DIV/0!</v>
      </c>
      <c r="E51" s="3155" t="e">
        <f>1/D51</f>
        <v>#DIV/0!</v>
      </c>
      <c r="F51" s="3089"/>
      <c r="G51" s="3088"/>
    </row>
    <row r="52" spans="1:8" ht="8.25" customHeight="1">
      <c r="A52" s="3090"/>
      <c r="B52" s="3089"/>
      <c r="C52" s="3089"/>
      <c r="D52" s="3154"/>
      <c r="E52" s="3108"/>
      <c r="F52" s="3089"/>
      <c r="G52" s="3088"/>
    </row>
    <row r="53" spans="1:8" ht="8.25" customHeight="1" thickBot="1">
      <c r="A53" s="3090"/>
      <c r="B53" s="3089"/>
      <c r="C53" s="3089"/>
      <c r="D53" s="3154"/>
      <c r="E53" s="3108"/>
      <c r="F53" s="3153"/>
      <c r="G53" s="3088"/>
    </row>
    <row r="54" spans="1:8" ht="16.5" thickBot="1">
      <c r="A54" s="3152" t="s">
        <v>329</v>
      </c>
      <c r="B54" s="3150" t="s">
        <v>1928</v>
      </c>
      <c r="C54" s="3151"/>
      <c r="D54" s="3150"/>
      <c r="E54" s="3150"/>
      <c r="F54" s="3150"/>
      <c r="G54" s="3149"/>
    </row>
    <row r="55" spans="1:8" ht="4.5" customHeight="1" thickBot="1">
      <c r="A55" s="3109"/>
      <c r="B55" s="3148"/>
      <c r="C55" s="3147"/>
      <c r="D55" s="3108"/>
      <c r="E55" s="3108"/>
      <c r="F55" s="3108"/>
      <c r="G55" s="3088"/>
      <c r="H55" s="3089"/>
    </row>
    <row r="56" spans="1:8" ht="16.5" thickBot="1">
      <c r="A56" s="3146"/>
      <c r="B56" s="3145" t="s">
        <v>1927</v>
      </c>
      <c r="C56" s="3144">
        <f>+C19</f>
        <v>0</v>
      </c>
      <c r="D56" s="3143" t="s">
        <v>1926</v>
      </c>
      <c r="E56" s="3108"/>
      <c r="F56" s="3108"/>
      <c r="G56" s="3088"/>
    </row>
    <row r="57" spans="1:8" ht="6" customHeight="1">
      <c r="A57" s="3090"/>
      <c r="B57" s="3089"/>
      <c r="C57" s="3089"/>
      <c r="D57" s="3108"/>
      <c r="E57" s="3108"/>
      <c r="F57" s="3108"/>
      <c r="G57" s="3088"/>
    </row>
    <row r="58" spans="1:8" ht="48" thickBot="1">
      <c r="A58" s="3090"/>
      <c r="B58" s="3142"/>
      <c r="C58" s="3140" t="s">
        <v>1925</v>
      </c>
      <c r="D58" s="3141" t="s">
        <v>1924</v>
      </c>
      <c r="E58" s="3140" t="s">
        <v>1923</v>
      </c>
      <c r="F58" s="3108"/>
      <c r="G58" s="3088"/>
    </row>
    <row r="59" spans="1:8" ht="15.75">
      <c r="A59" s="3090"/>
      <c r="B59" s="3139" t="s">
        <v>811</v>
      </c>
      <c r="C59" s="3138" t="e">
        <f>E47</f>
        <v>#DIV/0!</v>
      </c>
      <c r="D59" s="3137"/>
      <c r="E59" s="3136" t="e">
        <f>D59/C59</f>
        <v>#DIV/0!</v>
      </c>
      <c r="F59" s="3108"/>
      <c r="G59" s="3088"/>
    </row>
    <row r="60" spans="1:8" ht="15.75">
      <c r="A60" s="3090"/>
      <c r="B60" s="3135" t="s">
        <v>812</v>
      </c>
      <c r="C60" s="3134" t="e">
        <f>E48</f>
        <v>#DIV/0!</v>
      </c>
      <c r="D60" s="3133"/>
      <c r="E60" s="3132" t="e">
        <f>D60/C60</f>
        <v>#DIV/0!</v>
      </c>
      <c r="F60" s="3108"/>
      <c r="G60" s="3088"/>
    </row>
    <row r="61" spans="1:8" ht="15.75">
      <c r="A61" s="3090"/>
      <c r="B61" s="3135" t="s">
        <v>813</v>
      </c>
      <c r="C61" s="3134" t="e">
        <f>E49</f>
        <v>#DIV/0!</v>
      </c>
      <c r="D61" s="3133"/>
      <c r="E61" s="3132" t="e">
        <f>D61/C61</f>
        <v>#DIV/0!</v>
      </c>
      <c r="F61" s="3108"/>
      <c r="G61" s="3088"/>
    </row>
    <row r="62" spans="1:8" ht="15.75">
      <c r="A62" s="3090"/>
      <c r="B62" s="3135" t="s">
        <v>814</v>
      </c>
      <c r="C62" s="3134" t="e">
        <f>E50</f>
        <v>#DIV/0!</v>
      </c>
      <c r="D62" s="3133"/>
      <c r="E62" s="3132" t="e">
        <f>D62/C62</f>
        <v>#DIV/0!</v>
      </c>
      <c r="F62" s="3108"/>
      <c r="G62" s="3088"/>
    </row>
    <row r="63" spans="1:8" ht="16.5" thickBot="1">
      <c r="A63" s="3090"/>
      <c r="B63" s="3131" t="s">
        <v>815</v>
      </c>
      <c r="C63" s="3130" t="e">
        <f>E51</f>
        <v>#DIV/0!</v>
      </c>
      <c r="D63" s="3129"/>
      <c r="E63" s="3128" t="e">
        <f>D63/C63</f>
        <v>#DIV/0!</v>
      </c>
      <c r="F63" s="3108"/>
      <c r="G63" s="3088"/>
    </row>
    <row r="64" spans="1:8" ht="15.75">
      <c r="A64" s="3090"/>
      <c r="B64" s="3127" t="s">
        <v>32</v>
      </c>
      <c r="C64" s="3126"/>
      <c r="D64" s="3125">
        <f>SUM(D59:D63)</f>
        <v>0</v>
      </c>
      <c r="E64" s="3124" t="e">
        <f>SUM(E59:E63)</f>
        <v>#DIV/0!</v>
      </c>
      <c r="F64" s="3108"/>
      <c r="G64" s="3088"/>
    </row>
    <row r="65" spans="1:7">
      <c r="A65" s="3090"/>
      <c r="B65" s="3123" t="s">
        <v>33</v>
      </c>
      <c r="C65" s="3122"/>
      <c r="D65" s="3121" t="e">
        <f>D64/C56</f>
        <v>#DIV/0!</v>
      </c>
      <c r="E65" s="3120"/>
      <c r="F65" s="3108"/>
      <c r="G65" s="3088"/>
    </row>
    <row r="66" spans="1:7">
      <c r="A66" s="3090"/>
      <c r="B66" s="3117" t="s">
        <v>1922</v>
      </c>
      <c r="C66" s="3115"/>
      <c r="D66" s="3119">
        <f>B31</f>
        <v>0</v>
      </c>
      <c r="E66" s="3118"/>
      <c r="F66" s="3108"/>
      <c r="G66" s="3088"/>
    </row>
    <row r="67" spans="1:7">
      <c r="A67" s="3090"/>
      <c r="B67" s="3117" t="s">
        <v>1921</v>
      </c>
      <c r="C67" s="3115"/>
      <c r="D67" s="3116" t="e">
        <f>C20</f>
        <v>#DIV/0!</v>
      </c>
      <c r="E67" s="3115"/>
      <c r="F67" s="3108"/>
      <c r="G67" s="3088"/>
    </row>
    <row r="68" spans="1:7" ht="21.75" customHeight="1">
      <c r="A68" s="3090"/>
      <c r="B68" s="3114" t="s">
        <v>1920</v>
      </c>
      <c r="C68" s="3113"/>
      <c r="D68" s="3112" t="e">
        <f>+D65</f>
        <v>#DIV/0!</v>
      </c>
      <c r="E68" s="3111" t="e">
        <f>IF(D65&gt;100%,"Belegungsangaben stimmen nicht mit der aktuellen Platzzahl überein",D66/D67*D65)</f>
        <v>#DIV/0!</v>
      </c>
      <c r="F68" s="3108"/>
      <c r="G68" s="3110"/>
    </row>
    <row r="69" spans="1:7" ht="16.5" thickBot="1">
      <c r="A69" s="3109"/>
      <c r="B69" s="3108"/>
      <c r="C69" s="3108"/>
      <c r="D69" s="3108"/>
      <c r="E69" s="3108"/>
      <c r="F69" s="3108"/>
      <c r="G69" s="3088"/>
    </row>
    <row r="70" spans="1:7" ht="15.75">
      <c r="A70" s="3090"/>
      <c r="B70" s="3107" t="s">
        <v>1919</v>
      </c>
      <c r="C70" s="3106"/>
      <c r="D70" s="3106"/>
      <c r="E70" s="3105"/>
      <c r="F70" s="3089"/>
      <c r="G70" s="3088"/>
    </row>
    <row r="71" spans="1:7" ht="16.5" thickBot="1">
      <c r="A71" s="3097"/>
      <c r="B71" s="3104" t="s">
        <v>1918</v>
      </c>
      <c r="C71" s="3103"/>
      <c r="D71" s="3103"/>
      <c r="E71" s="3102" t="e">
        <f>E68+E64</f>
        <v>#DIV/0!</v>
      </c>
      <c r="F71" s="3089"/>
      <c r="G71" s="3088"/>
    </row>
    <row r="72" spans="1:7" ht="15.75">
      <c r="A72" s="3097"/>
      <c r="B72" s="3101"/>
      <c r="C72" s="3101"/>
      <c r="D72" s="3101"/>
      <c r="E72" s="3098"/>
      <c r="F72" s="3089"/>
      <c r="G72" s="3088"/>
    </row>
    <row r="73" spans="1:7">
      <c r="A73" s="3097"/>
      <c r="B73" s="4357" t="s">
        <v>1917</v>
      </c>
      <c r="C73" s="4357"/>
      <c r="D73" s="4357"/>
      <c r="E73" s="3092"/>
      <c r="F73" s="4358" t="s">
        <v>1916</v>
      </c>
      <c r="G73" s="4359"/>
    </row>
    <row r="74" spans="1:7">
      <c r="A74" s="3097"/>
      <c r="B74" s="4357" t="s">
        <v>1915</v>
      </c>
      <c r="C74" s="4357"/>
      <c r="D74" s="4360"/>
      <c r="E74" s="3092"/>
      <c r="F74" s="4358"/>
      <c r="G74" s="4359"/>
    </row>
    <row r="75" spans="1:7">
      <c r="A75" s="3097"/>
      <c r="B75" s="4357" t="s">
        <v>1914</v>
      </c>
      <c r="C75" s="4357"/>
      <c r="D75" s="4357"/>
      <c r="E75" s="3092"/>
      <c r="F75" s="4358"/>
      <c r="G75" s="4359"/>
    </row>
    <row r="76" spans="1:7" ht="15.75" thickBot="1">
      <c r="A76" s="3097"/>
      <c r="B76" s="4357" t="s">
        <v>1913</v>
      </c>
      <c r="C76" s="4357"/>
      <c r="D76" s="4357"/>
      <c r="E76" s="3100"/>
      <c r="F76" s="4358"/>
      <c r="G76" s="4359"/>
    </row>
    <row r="77" spans="1:7" ht="15.75">
      <c r="A77" s="3097"/>
      <c r="B77" s="3099"/>
      <c r="C77" s="3099"/>
      <c r="D77" s="3099"/>
      <c r="E77" s="3098"/>
      <c r="F77" s="3089"/>
      <c r="G77" s="3088"/>
    </row>
    <row r="78" spans="1:7" ht="16.5" thickBot="1">
      <c r="A78" s="3097"/>
      <c r="B78" s="4357" t="s">
        <v>1912</v>
      </c>
      <c r="C78" s="4357"/>
      <c r="D78" s="4357"/>
      <c r="E78" s="3096" t="e">
        <f>E71+E74+E73+E75+E76</f>
        <v>#DIV/0!</v>
      </c>
      <c r="F78" s="3089"/>
      <c r="G78" s="3088"/>
    </row>
    <row r="79" spans="1:7" ht="14.25" customHeight="1" thickTop="1">
      <c r="A79" s="3090"/>
      <c r="B79" s="3089"/>
      <c r="C79" s="3095"/>
      <c r="D79" s="3094"/>
      <c r="E79" s="3093"/>
      <c r="F79" s="3089"/>
      <c r="G79" s="3088"/>
    </row>
    <row r="80" spans="1:7">
      <c r="A80" s="3090"/>
      <c r="B80" s="4356" t="s">
        <v>1964</v>
      </c>
      <c r="C80" s="4356"/>
      <c r="D80" s="3089"/>
      <c r="E80" s="3092"/>
      <c r="F80" s="3234"/>
      <c r="G80" s="3088"/>
    </row>
    <row r="81" spans="1:7">
      <c r="A81" s="3090"/>
      <c r="B81" s="3235" t="s">
        <v>1965</v>
      </c>
      <c r="C81" s="3089"/>
      <c r="D81" s="3089"/>
      <c r="E81" s="3089"/>
      <c r="F81" s="3234"/>
      <c r="G81" s="3088"/>
    </row>
    <row r="82" spans="1:7">
      <c r="A82" s="3090"/>
      <c r="B82" s="4356" t="e">
        <f>IF(E82=0,"Personalmenge ausreichend",IF(E80&gt;E78,"Mehrpersonal",IF(E80&lt;E78,"Minderpersonal")))</f>
        <v>#DIV/0!</v>
      </c>
      <c r="C82" s="4356"/>
      <c r="D82" s="3089"/>
      <c r="E82" s="3091" t="e">
        <f>E80-E78</f>
        <v>#DIV/0!</v>
      </c>
      <c r="F82" s="3089"/>
      <c r="G82" s="3088"/>
    </row>
    <row r="83" spans="1:7">
      <c r="A83" s="3090"/>
      <c r="B83" s="3089"/>
      <c r="C83" s="3089"/>
      <c r="D83" s="3089"/>
      <c r="E83" s="3089"/>
      <c r="F83" s="3089"/>
      <c r="G83" s="3088"/>
    </row>
    <row r="84" spans="1:7" ht="15.75" thickBot="1">
      <c r="A84" s="3087"/>
      <c r="B84" s="3086"/>
      <c r="C84" s="3086"/>
      <c r="D84" s="3086"/>
      <c r="E84" s="3086"/>
      <c r="F84" s="3086"/>
      <c r="G84" s="3085"/>
    </row>
  </sheetData>
  <sheetProtection selectLockedCells="1"/>
  <mergeCells count="14">
    <mergeCell ref="B21:G21"/>
    <mergeCell ref="A2:G4"/>
    <mergeCell ref="D5:E5"/>
    <mergeCell ref="F5:G5"/>
    <mergeCell ref="D7:G7"/>
    <mergeCell ref="B11:G11"/>
    <mergeCell ref="B80:C80"/>
    <mergeCell ref="B82:C82"/>
    <mergeCell ref="B73:D73"/>
    <mergeCell ref="F73:G76"/>
    <mergeCell ref="B74:D74"/>
    <mergeCell ref="B75:D75"/>
    <mergeCell ref="B76:D76"/>
    <mergeCell ref="B78:D78"/>
  </mergeCells>
  <conditionalFormatting sqref="B82:C82 E82">
    <cfRule type="containsErrors" dxfId="363" priority="2">
      <formula>ISERROR(B82)</formula>
    </cfRule>
  </conditionalFormatting>
  <conditionalFormatting sqref="E78">
    <cfRule type="containsErrors" dxfId="362" priority="1">
      <formula>ISERROR(E78)</formula>
    </cfRule>
  </conditionalFormatting>
  <pageMargins left="0.7" right="0.7" top="0.78740157499999996" bottom="0.78740157499999996" header="0.3" footer="0.3"/>
  <pageSetup paperSize="9" scale="54" orientation="portrait" r:id="rId1"/>
  <headerFooter>
    <oddFooter>&amp;L&amp;A&amp;C&amp;F&amp;R&amp;P von &amp;N</oddFooter>
  </headerFooter>
  <rowBreaks count="1" manualBreakCount="1">
    <brk id="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pageSetUpPr fitToPage="1"/>
  </sheetPr>
  <dimension ref="A1:K84"/>
  <sheetViews>
    <sheetView showGridLines="0" zoomScale="120" zoomScaleNormal="120" workbookViewId="0">
      <selection activeCell="C1" sqref="C1:G1"/>
    </sheetView>
  </sheetViews>
  <sheetFormatPr baseColWidth="10" defaultColWidth="11.5703125" defaultRowHeight="15"/>
  <cols>
    <col min="1" max="1" width="4.140625" style="3084" customWidth="1"/>
    <col min="2" max="2" width="18" style="3084" customWidth="1"/>
    <col min="3" max="3" width="14.140625" style="3084" customWidth="1"/>
    <col min="4" max="4" width="14.5703125" style="3084" customWidth="1"/>
    <col min="5" max="5" width="13.85546875" style="3084" customWidth="1"/>
    <col min="6" max="6" width="14.28515625" style="3084" customWidth="1"/>
    <col min="7" max="7" width="15.85546875" style="3084" customWidth="1"/>
    <col min="8" max="9" width="11.5703125" style="3084"/>
    <col min="10" max="10" width="17.28515625" style="3084" bestFit="1" customWidth="1"/>
    <col min="11" max="16384" width="11.5703125" style="3084"/>
  </cols>
  <sheetData>
    <row r="1" spans="1:7" s="3164" customFormat="1" ht="21" thickBot="1">
      <c r="A1" s="3232"/>
      <c r="B1" s="3231" t="s">
        <v>1963</v>
      </c>
      <c r="C1" s="3230">
        <v>44624</v>
      </c>
      <c r="D1" s="3229"/>
      <c r="E1" s="3229"/>
      <c r="F1" s="3229"/>
      <c r="G1" s="3228"/>
    </row>
    <row r="2" spans="1:7" s="3164" customFormat="1" ht="15.75" customHeight="1">
      <c r="A2" s="4363" t="s">
        <v>1962</v>
      </c>
      <c r="B2" s="4364"/>
      <c r="C2" s="4364"/>
      <c r="D2" s="4364"/>
      <c r="E2" s="4364"/>
      <c r="F2" s="4364"/>
      <c r="G2" s="4365"/>
    </row>
    <row r="3" spans="1:7" s="3164" customFormat="1" ht="34.5" customHeight="1">
      <c r="A3" s="4366"/>
      <c r="B3" s="4367"/>
      <c r="C3" s="4367"/>
      <c r="D3" s="4367"/>
      <c r="E3" s="4367"/>
      <c r="F3" s="4367"/>
      <c r="G3" s="4368"/>
    </row>
    <row r="4" spans="1:7" s="3164" customFormat="1" ht="15.75" customHeight="1" thickBot="1">
      <c r="A4" s="4369"/>
      <c r="B4" s="4370"/>
      <c r="C4" s="4370"/>
      <c r="D4" s="4370"/>
      <c r="E4" s="4370"/>
      <c r="F4" s="4370"/>
      <c r="G4" s="4371"/>
    </row>
    <row r="5" spans="1:7" s="3164" customFormat="1" ht="18.75">
      <c r="A5" s="3178"/>
      <c r="B5" s="3222"/>
      <c r="C5" s="3222"/>
      <c r="D5" s="4372" t="s">
        <v>834</v>
      </c>
      <c r="E5" s="4373"/>
      <c r="F5" s="4374">
        <f>'Copy &amp; Paste'!G13</f>
        <v>0</v>
      </c>
      <c r="G5" s="4375"/>
    </row>
    <row r="6" spans="1:7" s="3164" customFormat="1" ht="15.75">
      <c r="A6" s="3178"/>
      <c r="B6" s="3227" t="s">
        <v>1961</v>
      </c>
      <c r="C6" s="3108"/>
      <c r="D6" s="3226" t="s">
        <v>1960</v>
      </c>
      <c r="E6" s="3225"/>
      <c r="F6" s="3225"/>
      <c r="G6" s="3224"/>
    </row>
    <row r="7" spans="1:7" s="3164" customFormat="1" ht="15.75">
      <c r="A7" s="3223"/>
      <c r="B7" s="3233">
        <f>'Copy &amp; Paste'!H11</f>
        <v>0</v>
      </c>
      <c r="C7" s="3222"/>
      <c r="D7" s="4376" t="str">
        <f>CONCATENATE('Copy &amp; Paste'!B5,", ",'Copy &amp; Paste'!B7,", ",'Copy &amp; Paste'!B8," ",'Copy &amp; Paste'!C8)</f>
        <v xml:space="preserve">, ,  </v>
      </c>
      <c r="E7" s="4377"/>
      <c r="F7" s="4377"/>
      <c r="G7" s="4378"/>
    </row>
    <row r="8" spans="1:7" s="3164" customFormat="1">
      <c r="A8" s="3221" t="s">
        <v>1959</v>
      </c>
      <c r="B8" s="3108"/>
      <c r="C8" s="3108"/>
      <c r="D8" s="3108"/>
      <c r="E8" s="3108"/>
      <c r="F8" s="3108"/>
      <c r="G8" s="3165"/>
    </row>
    <row r="9" spans="1:7" s="3164" customFormat="1">
      <c r="A9" s="3220" t="s">
        <v>1958</v>
      </c>
      <c r="B9" s="3108" t="s">
        <v>1957</v>
      </c>
      <c r="C9" s="3108"/>
      <c r="D9" s="3108"/>
      <c r="E9" s="3108"/>
      <c r="F9" s="3108"/>
      <c r="G9" s="3165"/>
    </row>
    <row r="10" spans="1:7" s="3164" customFormat="1" ht="7.5" customHeight="1" thickBot="1">
      <c r="A10" s="3168"/>
      <c r="B10" s="3108"/>
      <c r="C10" s="3108"/>
      <c r="D10" s="3108"/>
      <c r="E10" s="3108"/>
      <c r="F10" s="3108"/>
      <c r="G10" s="3165"/>
    </row>
    <row r="11" spans="1:7" s="3164" customFormat="1" ht="31.5" customHeight="1" thickBot="1">
      <c r="A11" s="3152" t="s">
        <v>1956</v>
      </c>
      <c r="B11" s="4361" t="s">
        <v>1955</v>
      </c>
      <c r="C11" s="4361"/>
      <c r="D11" s="4361"/>
      <c r="E11" s="4361"/>
      <c r="F11" s="4361"/>
      <c r="G11" s="4362"/>
    </row>
    <row r="12" spans="1:7" s="3164" customFormat="1" ht="6.6" customHeight="1">
      <c r="A12" s="3168"/>
      <c r="B12" s="3108"/>
      <c r="C12" s="3108"/>
      <c r="D12" s="3108"/>
      <c r="E12" s="3108"/>
      <c r="F12" s="3108"/>
      <c r="G12" s="3165"/>
    </row>
    <row r="13" spans="1:7" s="3164" customFormat="1">
      <c r="A13" s="3168"/>
      <c r="B13" s="3108" t="s">
        <v>1</v>
      </c>
      <c r="C13" s="3219"/>
      <c r="D13" s="3108"/>
      <c r="E13" s="3108"/>
      <c r="F13" s="3108"/>
      <c r="G13" s="3165"/>
    </row>
    <row r="14" spans="1:7" s="3164" customFormat="1">
      <c r="A14" s="3168"/>
      <c r="B14" s="3108" t="s">
        <v>2</v>
      </c>
      <c r="C14" s="3219"/>
      <c r="D14" s="3108"/>
      <c r="E14" s="3108"/>
      <c r="F14" s="3108"/>
      <c r="G14" s="3165"/>
    </row>
    <row r="15" spans="1:7" s="3164" customFormat="1">
      <c r="A15" s="3168"/>
      <c r="B15" s="3108" t="s">
        <v>3</v>
      </c>
      <c r="C15" s="3219"/>
      <c r="D15" s="3108"/>
      <c r="E15" s="3108"/>
      <c r="F15" s="3108"/>
      <c r="G15" s="3165"/>
    </row>
    <row r="16" spans="1:7" s="3164" customFormat="1">
      <c r="A16" s="3168"/>
      <c r="B16" s="3108" t="s">
        <v>4</v>
      </c>
      <c r="C16" s="3219"/>
      <c r="D16" s="3108"/>
      <c r="E16" s="3108"/>
      <c r="F16" s="3108"/>
      <c r="G16" s="3165"/>
    </row>
    <row r="17" spans="1:7" s="3164" customFormat="1">
      <c r="A17" s="3168"/>
      <c r="B17" s="3108" t="s">
        <v>5</v>
      </c>
      <c r="C17" s="3218"/>
      <c r="D17" s="3108"/>
      <c r="E17" s="3108"/>
      <c r="F17" s="3108"/>
      <c r="G17" s="3165"/>
    </row>
    <row r="18" spans="1:7" s="3164" customFormat="1" ht="15.75" thickBot="1">
      <c r="A18" s="3168"/>
      <c r="B18" s="3215" t="s">
        <v>1954</v>
      </c>
      <c r="C18" s="3217">
        <f>SUM(C13:C17)</f>
        <v>0</v>
      </c>
      <c r="D18" s="3108"/>
      <c r="E18" s="3108"/>
      <c r="F18" s="3108"/>
      <c r="G18" s="3165"/>
    </row>
    <row r="19" spans="1:7" s="3164" customFormat="1" ht="15.75" thickTop="1">
      <c r="A19" s="3168"/>
      <c r="B19" s="3108" t="s">
        <v>241</v>
      </c>
      <c r="C19" s="3216">
        <f>B7</f>
        <v>0</v>
      </c>
      <c r="D19" s="3108"/>
      <c r="E19" s="3108"/>
      <c r="F19" s="3108"/>
      <c r="G19" s="3165"/>
    </row>
    <row r="20" spans="1:7" s="3164" customFormat="1" ht="15.75" thickBot="1">
      <c r="A20" s="3168"/>
      <c r="B20" s="3215" t="s">
        <v>1953</v>
      </c>
      <c r="C20" s="3214" t="e">
        <f>+C18/C19</f>
        <v>#DIV/0!</v>
      </c>
      <c r="D20" s="3108"/>
      <c r="E20" s="3108"/>
      <c r="F20" s="3108"/>
      <c r="G20" s="3165"/>
    </row>
    <row r="21" spans="1:7" s="3164" customFormat="1" ht="34.5" customHeight="1" thickBot="1">
      <c r="A21" s="3152" t="s">
        <v>325</v>
      </c>
      <c r="B21" s="4361" t="s">
        <v>1952</v>
      </c>
      <c r="C21" s="4361"/>
      <c r="D21" s="4361"/>
      <c r="E21" s="4361"/>
      <c r="F21" s="4361"/>
      <c r="G21" s="4362"/>
    </row>
    <row r="22" spans="1:7" s="3164" customFormat="1" ht="6" customHeight="1">
      <c r="A22" s="3168"/>
      <c r="B22" s="3108"/>
      <c r="C22" s="3108"/>
      <c r="D22" s="3108"/>
      <c r="E22" s="3108"/>
      <c r="F22" s="3108"/>
      <c r="G22" s="3165"/>
    </row>
    <row r="23" spans="1:7" s="3164" customFormat="1">
      <c r="A23" s="3207" t="s">
        <v>1951</v>
      </c>
      <c r="B23" s="3108" t="s">
        <v>1950</v>
      </c>
      <c r="C23" s="3213"/>
      <c r="D23" s="3108"/>
      <c r="E23" s="3108"/>
      <c r="F23" s="3108"/>
      <c r="G23" s="3165"/>
    </row>
    <row r="24" spans="1:7" s="3164" customFormat="1">
      <c r="A24" s="3207" t="s">
        <v>1949</v>
      </c>
      <c r="B24" s="3108" t="s">
        <v>1948</v>
      </c>
      <c r="C24" s="3212"/>
      <c r="D24" s="3108"/>
      <c r="E24" s="3108"/>
      <c r="F24" s="3108"/>
      <c r="G24" s="3165"/>
    </row>
    <row r="25" spans="1:7" s="3164" customFormat="1" ht="15.75" thickBot="1">
      <c r="A25" s="3207" t="s">
        <v>1947</v>
      </c>
      <c r="B25" s="3108"/>
      <c r="C25" s="3211">
        <f>SUM(C23:C24)</f>
        <v>0</v>
      </c>
      <c r="D25" s="3108"/>
      <c r="E25" s="3108"/>
      <c r="F25" s="3108"/>
      <c r="G25" s="3165"/>
    </row>
    <row r="26" spans="1:7" s="3164" customFormat="1" ht="6.75" customHeight="1" thickTop="1" thickBot="1">
      <c r="A26" s="3168"/>
      <c r="B26" s="3108"/>
      <c r="C26" s="3108"/>
      <c r="D26" s="3108"/>
      <c r="E26" s="3108"/>
      <c r="F26" s="3108"/>
      <c r="G26" s="3165"/>
    </row>
    <row r="27" spans="1:7" s="3164" customFormat="1" ht="16.5" thickBot="1">
      <c r="A27" s="3152" t="s">
        <v>326</v>
      </c>
      <c r="B27" s="3150" t="s">
        <v>1946</v>
      </c>
      <c r="C27" s="3150"/>
      <c r="D27" s="3150"/>
      <c r="E27" s="3150"/>
      <c r="F27" s="3150"/>
      <c r="G27" s="3210"/>
    </row>
    <row r="28" spans="1:7" s="3164" customFormat="1" ht="7.9" customHeight="1">
      <c r="A28" s="3168"/>
      <c r="B28" s="3108"/>
      <c r="C28" s="3108"/>
      <c r="D28" s="3108"/>
      <c r="E28" s="3108"/>
      <c r="F28" s="3108"/>
      <c r="G28" s="3165"/>
    </row>
    <row r="29" spans="1:7" s="3164" customFormat="1">
      <c r="A29" s="3207" t="s">
        <v>1945</v>
      </c>
      <c r="B29" s="3206">
        <f>+C25</f>
        <v>0</v>
      </c>
      <c r="C29" s="3209">
        <v>1.0680000000000001</v>
      </c>
      <c r="D29" s="3204" t="s">
        <v>1940</v>
      </c>
      <c r="E29" s="3143" t="s">
        <v>1944</v>
      </c>
      <c r="F29" s="3143"/>
      <c r="G29" s="3203"/>
    </row>
    <row r="30" spans="1:7" s="3164" customFormat="1">
      <c r="A30" s="3207" t="s">
        <v>1943</v>
      </c>
      <c r="B30" s="3206">
        <f>+B29/C29</f>
        <v>0</v>
      </c>
      <c r="C30" s="3208">
        <v>1</v>
      </c>
      <c r="D30" s="3143" t="s">
        <v>1942</v>
      </c>
      <c r="E30" s="3108"/>
      <c r="F30" s="3108"/>
      <c r="G30" s="3165"/>
    </row>
    <row r="31" spans="1:7" s="3164" customFormat="1">
      <c r="A31" s="3207" t="s">
        <v>1941</v>
      </c>
      <c r="B31" s="3206">
        <f>+B29-B30</f>
        <v>0</v>
      </c>
      <c r="C31" s="3205" t="e">
        <f>+B31/B30</f>
        <v>#DIV/0!</v>
      </c>
      <c r="D31" s="3204" t="s">
        <v>1940</v>
      </c>
      <c r="E31" s="3143" t="s">
        <v>1939</v>
      </c>
      <c r="F31" s="3143"/>
      <c r="G31" s="3203"/>
    </row>
    <row r="32" spans="1:7" s="3164" customFormat="1">
      <c r="A32" s="3168"/>
      <c r="B32" s="3108"/>
      <c r="C32" s="3108"/>
      <c r="D32" s="3108"/>
      <c r="E32" s="3108"/>
      <c r="F32" s="3108"/>
      <c r="G32" s="3165"/>
    </row>
    <row r="33" spans="1:11" s="3198" customFormat="1" ht="21" customHeight="1" thickBot="1">
      <c r="A33" s="3202"/>
      <c r="B33" s="3201"/>
      <c r="C33" s="3200"/>
      <c r="D33" s="3200"/>
      <c r="E33" s="3200"/>
      <c r="F33" s="3200"/>
      <c r="G33" s="3199"/>
      <c r="H33" s="3164"/>
      <c r="I33" s="3164"/>
      <c r="J33" s="3164"/>
      <c r="K33" s="3164"/>
    </row>
    <row r="34" spans="1:11" s="3164" customFormat="1" ht="24.75" thickBot="1">
      <c r="A34" s="3168"/>
      <c r="B34" s="3108"/>
      <c r="C34" s="3197" t="s">
        <v>1930</v>
      </c>
      <c r="D34" s="3196" t="s">
        <v>1938</v>
      </c>
      <c r="E34" s="3195" t="s">
        <v>1937</v>
      </c>
      <c r="F34" s="3195" t="s">
        <v>1936</v>
      </c>
      <c r="G34" s="3165"/>
    </row>
    <row r="35" spans="1:11" s="3164" customFormat="1">
      <c r="A35" s="3168"/>
      <c r="B35" s="3194" t="s">
        <v>811</v>
      </c>
      <c r="C35" s="3194">
        <v>8</v>
      </c>
      <c r="D35" s="3193">
        <f>1/C35</f>
        <v>0.125</v>
      </c>
      <c r="E35" s="3192">
        <f>+C13</f>
        <v>0</v>
      </c>
      <c r="F35" s="3191">
        <f>+D35*E35</f>
        <v>0</v>
      </c>
      <c r="G35" s="3165"/>
    </row>
    <row r="36" spans="1:11" s="3164" customFormat="1">
      <c r="A36" s="3168"/>
      <c r="B36" s="3190" t="s">
        <v>812</v>
      </c>
      <c r="C36" s="3190">
        <v>4.66</v>
      </c>
      <c r="D36" s="3189">
        <f t="shared" ref="D36:D39" si="0">1/C36</f>
        <v>0.215</v>
      </c>
      <c r="E36" s="3188">
        <f>+C14</f>
        <v>0</v>
      </c>
      <c r="F36" s="3187">
        <f t="shared" ref="F36:F39" si="1">+D36*E36</f>
        <v>0</v>
      </c>
      <c r="G36" s="3165"/>
    </row>
    <row r="37" spans="1:11" s="3164" customFormat="1">
      <c r="A37" s="3168"/>
      <c r="B37" s="3190" t="s">
        <v>813</v>
      </c>
      <c r="C37" s="3190">
        <v>3.05</v>
      </c>
      <c r="D37" s="3189">
        <f t="shared" si="0"/>
        <v>0.32800000000000001</v>
      </c>
      <c r="E37" s="3188">
        <f>+C15</f>
        <v>0</v>
      </c>
      <c r="F37" s="3187">
        <f t="shared" si="1"/>
        <v>0</v>
      </c>
      <c r="G37" s="3165"/>
    </row>
    <row r="38" spans="1:11" s="3164" customFormat="1">
      <c r="A38" s="3168"/>
      <c r="B38" s="3190" t="s">
        <v>814</v>
      </c>
      <c r="C38" s="3190">
        <v>2.2400000000000002</v>
      </c>
      <c r="D38" s="3189">
        <f t="shared" si="0"/>
        <v>0.44600000000000001</v>
      </c>
      <c r="E38" s="3188">
        <f>+C16</f>
        <v>0</v>
      </c>
      <c r="F38" s="3187">
        <f t="shared" si="1"/>
        <v>0</v>
      </c>
      <c r="G38" s="3165"/>
    </row>
    <row r="39" spans="1:11" s="3164" customFormat="1" ht="15.75" thickBot="1">
      <c r="A39" s="3168"/>
      <c r="B39" s="3186" t="s">
        <v>815</v>
      </c>
      <c r="C39" s="3186">
        <v>2</v>
      </c>
      <c r="D39" s="3185">
        <f t="shared" si="0"/>
        <v>0.5</v>
      </c>
      <c r="E39" s="3184">
        <f>+C17</f>
        <v>0</v>
      </c>
      <c r="F39" s="3183">
        <f t="shared" si="1"/>
        <v>0</v>
      </c>
      <c r="G39" s="3165"/>
    </row>
    <row r="40" spans="1:11" s="3164" customFormat="1">
      <c r="A40" s="3168"/>
      <c r="B40" s="3143"/>
      <c r="C40" s="3143"/>
      <c r="D40" s="3143"/>
      <c r="E40" s="3182" t="s">
        <v>1935</v>
      </c>
      <c r="F40" s="3181">
        <f>SUM(F35:F39)</f>
        <v>0</v>
      </c>
      <c r="G40" s="3165"/>
    </row>
    <row r="41" spans="1:11" s="3164" customFormat="1" ht="15.75">
      <c r="A41" s="3168"/>
      <c r="B41" s="3108"/>
      <c r="C41" s="3108"/>
      <c r="D41" s="3108"/>
      <c r="E41" s="3153" t="s">
        <v>1934</v>
      </c>
      <c r="F41" s="3180">
        <f>+C25-F40-B31</f>
        <v>0</v>
      </c>
      <c r="G41" s="3179" t="e">
        <f>+F41/F40</f>
        <v>#DIV/0!</v>
      </c>
      <c r="H41" s="3108"/>
      <c r="I41" s="3153"/>
    </row>
    <row r="42" spans="1:11" s="3164" customFormat="1" ht="16.5" thickBot="1">
      <c r="A42" s="3178"/>
      <c r="B42" s="3175"/>
      <c r="C42" s="3175"/>
      <c r="D42" s="3108"/>
      <c r="E42" s="3153" t="s">
        <v>1933</v>
      </c>
      <c r="F42" s="3177">
        <f>+F41+F40</f>
        <v>0</v>
      </c>
      <c r="G42" s="3165"/>
      <c r="H42" s="3108"/>
    </row>
    <row r="43" spans="1:11" s="3164" customFormat="1" ht="12.75" customHeight="1" thickTop="1" thickBot="1">
      <c r="A43" s="3168"/>
      <c r="B43" s="3176" t="s">
        <v>1932</v>
      </c>
      <c r="C43" s="3108"/>
      <c r="D43" s="3143"/>
      <c r="E43" s="3108"/>
      <c r="F43" s="3175"/>
      <c r="G43" s="3174"/>
    </row>
    <row r="44" spans="1:11" s="3164" customFormat="1" ht="35.25" customHeight="1" thickBot="1">
      <c r="A44" s="3152" t="s">
        <v>328</v>
      </c>
      <c r="B44" s="3150" t="s">
        <v>1931</v>
      </c>
      <c r="C44" s="3150"/>
      <c r="D44" s="3150"/>
      <c r="E44" s="3150"/>
      <c r="F44" s="3173"/>
      <c r="G44" s="3172"/>
    </row>
    <row r="45" spans="1:11" s="3164" customFormat="1" ht="47.25">
      <c r="A45" s="3168"/>
      <c r="B45" s="3108"/>
      <c r="C45" s="3171" t="s">
        <v>1930</v>
      </c>
      <c r="D45" s="3170" t="s">
        <v>1929</v>
      </c>
      <c r="E45" s="3169" t="s">
        <v>1925</v>
      </c>
      <c r="F45" s="3108"/>
      <c r="G45" s="3165"/>
    </row>
    <row r="46" spans="1:11" s="3164" customFormat="1" ht="16.5" thickBot="1">
      <c r="A46" s="3168"/>
      <c r="B46" s="3108"/>
      <c r="C46" s="3167"/>
      <c r="D46" s="3166" t="e">
        <f>G41</f>
        <v>#DIV/0!</v>
      </c>
      <c r="E46" s="3166"/>
      <c r="F46" s="3108"/>
      <c r="G46" s="3165"/>
    </row>
    <row r="47" spans="1:11" ht="15.75">
      <c r="A47" s="3090"/>
      <c r="B47" s="3139" t="s">
        <v>811</v>
      </c>
      <c r="C47" s="3163">
        <f>D35</f>
        <v>0.125</v>
      </c>
      <c r="D47" s="3162" t="e">
        <f>+D35*(1+$G$41)</f>
        <v>#DIV/0!</v>
      </c>
      <c r="E47" s="3161" t="e">
        <f>1/D47</f>
        <v>#DIV/0!</v>
      </c>
      <c r="F47" s="3089"/>
      <c r="G47" s="3088"/>
    </row>
    <row r="48" spans="1:11" ht="15.75">
      <c r="A48" s="3090"/>
      <c r="B48" s="3135" t="s">
        <v>812</v>
      </c>
      <c r="C48" s="3160">
        <f>D36</f>
        <v>0.215</v>
      </c>
      <c r="D48" s="3159" t="e">
        <f>+D36*(1+$G$41)</f>
        <v>#DIV/0!</v>
      </c>
      <c r="E48" s="3158" t="e">
        <f>1/D48</f>
        <v>#DIV/0!</v>
      </c>
      <c r="F48" s="3089"/>
      <c r="G48" s="3088"/>
    </row>
    <row r="49" spans="1:8" ht="15.75">
      <c r="A49" s="3090"/>
      <c r="B49" s="3135" t="s">
        <v>813</v>
      </c>
      <c r="C49" s="3160">
        <f>D37</f>
        <v>0.32800000000000001</v>
      </c>
      <c r="D49" s="3159" t="e">
        <f>+D37*(1+$G$41)</f>
        <v>#DIV/0!</v>
      </c>
      <c r="E49" s="3158" t="e">
        <f>1/D49</f>
        <v>#DIV/0!</v>
      </c>
      <c r="F49" s="3089"/>
      <c r="G49" s="3088"/>
    </row>
    <row r="50" spans="1:8" ht="15.75">
      <c r="A50" s="3090"/>
      <c r="B50" s="3135" t="s">
        <v>814</v>
      </c>
      <c r="C50" s="3160">
        <f>D38</f>
        <v>0.44600000000000001</v>
      </c>
      <c r="D50" s="3159" t="e">
        <f>+D38*(1+$G$41)</f>
        <v>#DIV/0!</v>
      </c>
      <c r="E50" s="3158" t="e">
        <f>1/D50</f>
        <v>#DIV/0!</v>
      </c>
      <c r="F50" s="3089"/>
      <c r="G50" s="3088"/>
    </row>
    <row r="51" spans="1:8" ht="16.5" thickBot="1">
      <c r="A51" s="3090"/>
      <c r="B51" s="3131" t="s">
        <v>815</v>
      </c>
      <c r="C51" s="3157">
        <f>D39</f>
        <v>0.5</v>
      </c>
      <c r="D51" s="3156" t="e">
        <f>+D39*(1+$G$41)</f>
        <v>#DIV/0!</v>
      </c>
      <c r="E51" s="3155" t="e">
        <f>1/D51</f>
        <v>#DIV/0!</v>
      </c>
      <c r="F51" s="3089"/>
      <c r="G51" s="3088"/>
    </row>
    <row r="52" spans="1:8" ht="8.25" customHeight="1">
      <c r="A52" s="3090"/>
      <c r="B52" s="3089"/>
      <c r="C52" s="3089"/>
      <c r="D52" s="3154"/>
      <c r="E52" s="3108"/>
      <c r="F52" s="3089"/>
      <c r="G52" s="3088"/>
    </row>
    <row r="53" spans="1:8" ht="8.25" customHeight="1" thickBot="1">
      <c r="A53" s="3090"/>
      <c r="B53" s="3089"/>
      <c r="C53" s="3089"/>
      <c r="D53" s="3154"/>
      <c r="E53" s="3108"/>
      <c r="F53" s="3153"/>
      <c r="G53" s="3088"/>
    </row>
    <row r="54" spans="1:8" ht="16.5" thickBot="1">
      <c r="A54" s="3152" t="s">
        <v>329</v>
      </c>
      <c r="B54" s="3150" t="s">
        <v>1928</v>
      </c>
      <c r="C54" s="3151"/>
      <c r="D54" s="3150"/>
      <c r="E54" s="3150"/>
      <c r="F54" s="3150"/>
      <c r="G54" s="3149"/>
    </row>
    <row r="55" spans="1:8" ht="4.5" customHeight="1" thickBot="1">
      <c r="A55" s="3109"/>
      <c r="B55" s="3148"/>
      <c r="C55" s="3147"/>
      <c r="D55" s="3108"/>
      <c r="E55" s="3108"/>
      <c r="F55" s="3108"/>
      <c r="G55" s="3088"/>
      <c r="H55" s="3089"/>
    </row>
    <row r="56" spans="1:8" ht="16.5" thickBot="1">
      <c r="A56" s="3146"/>
      <c r="B56" s="3145" t="s">
        <v>1927</v>
      </c>
      <c r="C56" s="3144">
        <f>+C19</f>
        <v>0</v>
      </c>
      <c r="D56" s="3143" t="s">
        <v>1926</v>
      </c>
      <c r="E56" s="3108"/>
      <c r="F56" s="3108"/>
      <c r="G56" s="3088"/>
    </row>
    <row r="57" spans="1:8" ht="6" customHeight="1">
      <c r="A57" s="3090"/>
      <c r="B57" s="3089"/>
      <c r="C57" s="3089"/>
      <c r="D57" s="3108"/>
      <c r="E57" s="3108"/>
      <c r="F57" s="3108"/>
      <c r="G57" s="3088"/>
    </row>
    <row r="58" spans="1:8" ht="48" thickBot="1">
      <c r="A58" s="3090"/>
      <c r="B58" s="3142"/>
      <c r="C58" s="3140" t="s">
        <v>1925</v>
      </c>
      <c r="D58" s="3141" t="s">
        <v>1924</v>
      </c>
      <c r="E58" s="3140" t="s">
        <v>1923</v>
      </c>
      <c r="F58" s="3108"/>
      <c r="G58" s="3088"/>
    </row>
    <row r="59" spans="1:8" ht="15.75">
      <c r="A59" s="3090"/>
      <c r="B59" s="3139" t="s">
        <v>811</v>
      </c>
      <c r="C59" s="3138" t="e">
        <f>E47</f>
        <v>#DIV/0!</v>
      </c>
      <c r="D59" s="3137"/>
      <c r="E59" s="3136" t="e">
        <f>D59/C59</f>
        <v>#DIV/0!</v>
      </c>
      <c r="F59" s="3108"/>
      <c r="G59" s="3088"/>
    </row>
    <row r="60" spans="1:8" ht="15.75">
      <c r="A60" s="3090"/>
      <c r="B60" s="3135" t="s">
        <v>812</v>
      </c>
      <c r="C60" s="3134" t="e">
        <f>E48</f>
        <v>#DIV/0!</v>
      </c>
      <c r="D60" s="3133"/>
      <c r="E60" s="3132" t="e">
        <f t="shared" ref="E60:E63" si="2">D60/C60</f>
        <v>#DIV/0!</v>
      </c>
      <c r="F60" s="3108"/>
      <c r="G60" s="3088"/>
    </row>
    <row r="61" spans="1:8" ht="15.75">
      <c r="A61" s="3090"/>
      <c r="B61" s="3135" t="s">
        <v>813</v>
      </c>
      <c r="C61" s="3134" t="e">
        <f>E49</f>
        <v>#DIV/0!</v>
      </c>
      <c r="D61" s="3133"/>
      <c r="E61" s="3132" t="e">
        <f t="shared" si="2"/>
        <v>#DIV/0!</v>
      </c>
      <c r="F61" s="3108"/>
      <c r="G61" s="3088"/>
    </row>
    <row r="62" spans="1:8" ht="15.75">
      <c r="A62" s="3090"/>
      <c r="B62" s="3135" t="s">
        <v>814</v>
      </c>
      <c r="C62" s="3134" t="e">
        <f>E50</f>
        <v>#DIV/0!</v>
      </c>
      <c r="D62" s="3133"/>
      <c r="E62" s="3132" t="e">
        <f t="shared" si="2"/>
        <v>#DIV/0!</v>
      </c>
      <c r="F62" s="3108"/>
      <c r="G62" s="3088"/>
    </row>
    <row r="63" spans="1:8" ht="16.5" thickBot="1">
      <c r="A63" s="3090"/>
      <c r="B63" s="3131" t="s">
        <v>815</v>
      </c>
      <c r="C63" s="3130" t="e">
        <f>E51</f>
        <v>#DIV/0!</v>
      </c>
      <c r="D63" s="3129"/>
      <c r="E63" s="3128" t="e">
        <f t="shared" si="2"/>
        <v>#DIV/0!</v>
      </c>
      <c r="F63" s="3108"/>
      <c r="G63" s="3088"/>
    </row>
    <row r="64" spans="1:8" ht="15.75">
      <c r="A64" s="3090"/>
      <c r="B64" s="3127" t="s">
        <v>32</v>
      </c>
      <c r="C64" s="3126"/>
      <c r="D64" s="3125">
        <f>SUM(D59:D63)</f>
        <v>0</v>
      </c>
      <c r="E64" s="3124" t="e">
        <f>SUM(E59:E63)</f>
        <v>#DIV/0!</v>
      </c>
      <c r="F64" s="3108"/>
      <c r="G64" s="3088"/>
    </row>
    <row r="65" spans="1:7">
      <c r="A65" s="3090"/>
      <c r="B65" s="3123" t="s">
        <v>33</v>
      </c>
      <c r="C65" s="3122"/>
      <c r="D65" s="3121" t="e">
        <f>D64/C56</f>
        <v>#DIV/0!</v>
      </c>
      <c r="E65" s="3120"/>
      <c r="F65" s="3108"/>
      <c r="G65" s="3088"/>
    </row>
    <row r="66" spans="1:7">
      <c r="A66" s="3090"/>
      <c r="B66" s="3117" t="s">
        <v>1922</v>
      </c>
      <c r="C66" s="3115"/>
      <c r="D66" s="3119">
        <f>B31</f>
        <v>0</v>
      </c>
      <c r="E66" s="3118"/>
      <c r="F66" s="3108"/>
      <c r="G66" s="3088"/>
    </row>
    <row r="67" spans="1:7">
      <c r="A67" s="3090"/>
      <c r="B67" s="3117" t="s">
        <v>1921</v>
      </c>
      <c r="C67" s="3115"/>
      <c r="D67" s="3116" t="e">
        <f>C20</f>
        <v>#DIV/0!</v>
      </c>
      <c r="E67" s="3115"/>
      <c r="F67" s="3108"/>
      <c r="G67" s="3088"/>
    </row>
    <row r="68" spans="1:7" ht="21.75" customHeight="1">
      <c r="A68" s="3090"/>
      <c r="B68" s="3114" t="s">
        <v>1920</v>
      </c>
      <c r="C68" s="3113"/>
      <c r="D68" s="3112" t="e">
        <f>+D65</f>
        <v>#DIV/0!</v>
      </c>
      <c r="E68" s="3111" t="e">
        <f>IF(D65&gt;100%,"Belegungsangaben stimmen nicht mit der aktuellen Platzzahl überein",D66/D67*D65)</f>
        <v>#DIV/0!</v>
      </c>
      <c r="F68" s="3108"/>
      <c r="G68" s="3110"/>
    </row>
    <row r="69" spans="1:7" ht="16.5" thickBot="1">
      <c r="A69" s="3109"/>
      <c r="B69" s="3108"/>
      <c r="C69" s="3108"/>
      <c r="D69" s="3108"/>
      <c r="E69" s="3108"/>
      <c r="F69" s="3108"/>
      <c r="G69" s="3088"/>
    </row>
    <row r="70" spans="1:7" ht="15.75">
      <c r="A70" s="3090"/>
      <c r="B70" s="3107" t="s">
        <v>1919</v>
      </c>
      <c r="C70" s="3106"/>
      <c r="D70" s="3106"/>
      <c r="E70" s="3105"/>
      <c r="F70" s="3089"/>
      <c r="G70" s="3088"/>
    </row>
    <row r="71" spans="1:7" ht="16.5" thickBot="1">
      <c r="A71" s="3097"/>
      <c r="B71" s="3104" t="s">
        <v>1918</v>
      </c>
      <c r="C71" s="3103"/>
      <c r="D71" s="3103"/>
      <c r="E71" s="3102" t="e">
        <f>E68+E64</f>
        <v>#DIV/0!</v>
      </c>
      <c r="F71" s="3089"/>
      <c r="G71" s="3088"/>
    </row>
    <row r="72" spans="1:7" ht="15.75">
      <c r="A72" s="3097"/>
      <c r="B72" s="3101"/>
      <c r="C72" s="3101"/>
      <c r="D72" s="3101"/>
      <c r="E72" s="3098"/>
      <c r="F72" s="3089"/>
      <c r="G72" s="3088"/>
    </row>
    <row r="73" spans="1:7">
      <c r="A73" s="3097"/>
      <c r="B73" s="4357" t="s">
        <v>1917</v>
      </c>
      <c r="C73" s="4357"/>
      <c r="D73" s="4357"/>
      <c r="E73" s="3092"/>
      <c r="F73" s="4358" t="s">
        <v>1916</v>
      </c>
      <c r="G73" s="4359"/>
    </row>
    <row r="74" spans="1:7">
      <c r="A74" s="3097"/>
      <c r="B74" s="4357" t="s">
        <v>1915</v>
      </c>
      <c r="C74" s="4357"/>
      <c r="D74" s="4360"/>
      <c r="E74" s="3092"/>
      <c r="F74" s="4358"/>
      <c r="G74" s="4359"/>
    </row>
    <row r="75" spans="1:7">
      <c r="A75" s="3097"/>
      <c r="B75" s="4357" t="s">
        <v>1914</v>
      </c>
      <c r="C75" s="4357"/>
      <c r="D75" s="4357"/>
      <c r="E75" s="3092"/>
      <c r="F75" s="4358"/>
      <c r="G75" s="4359"/>
    </row>
    <row r="76" spans="1:7" ht="15.75" thickBot="1">
      <c r="A76" s="3097"/>
      <c r="B76" s="4357" t="s">
        <v>1913</v>
      </c>
      <c r="C76" s="4357"/>
      <c r="D76" s="4357"/>
      <c r="E76" s="3100"/>
      <c r="F76" s="4358"/>
      <c r="G76" s="4359"/>
    </row>
    <row r="77" spans="1:7" ht="15.75">
      <c r="A77" s="3097"/>
      <c r="B77" s="3099"/>
      <c r="C77" s="3099"/>
      <c r="D77" s="3099"/>
      <c r="E77" s="3098"/>
      <c r="F77" s="3089"/>
      <c r="G77" s="3088"/>
    </row>
    <row r="78" spans="1:7" ht="16.5" thickBot="1">
      <c r="A78" s="3097"/>
      <c r="B78" s="4357" t="s">
        <v>1912</v>
      </c>
      <c r="C78" s="4357"/>
      <c r="D78" s="4357"/>
      <c r="E78" s="3096" t="e">
        <f>E71+E74+E73+E75+E76</f>
        <v>#DIV/0!</v>
      </c>
      <c r="F78" s="3089"/>
      <c r="G78" s="3088"/>
    </row>
    <row r="79" spans="1:7" ht="14.25" customHeight="1" thickTop="1">
      <c r="A79" s="3090"/>
      <c r="B79" s="3089"/>
      <c r="C79" s="3095"/>
      <c r="D79" s="3094"/>
      <c r="E79" s="3093"/>
      <c r="F79" s="3089"/>
      <c r="G79" s="3088"/>
    </row>
    <row r="80" spans="1:7">
      <c r="A80" s="3090"/>
      <c r="B80" s="4356" t="s">
        <v>1964</v>
      </c>
      <c r="C80" s="4356"/>
      <c r="D80" s="3089"/>
      <c r="E80" s="3092"/>
      <c r="F80" s="3234"/>
      <c r="G80" s="3088"/>
    </row>
    <row r="81" spans="1:7">
      <c r="A81" s="3090"/>
      <c r="B81" s="3235" t="s">
        <v>1965</v>
      </c>
      <c r="C81" s="3089"/>
      <c r="D81" s="3089"/>
      <c r="E81" s="3089"/>
      <c r="F81" s="3234"/>
      <c r="G81" s="3088"/>
    </row>
    <row r="82" spans="1:7">
      <c r="A82" s="3090"/>
      <c r="B82" s="4356" t="e">
        <f>IF(E82=0,"Personalmenge ausreichend",IF(E80&gt;E78,"Mehrpersonal",IF(E80&lt;E78,"Minderpersonal")))</f>
        <v>#DIV/0!</v>
      </c>
      <c r="C82" s="4356"/>
      <c r="D82" s="3089"/>
      <c r="E82" s="3091" t="e">
        <f>E80-E78</f>
        <v>#DIV/0!</v>
      </c>
      <c r="F82" s="3089"/>
      <c r="G82" s="3088"/>
    </row>
    <row r="83" spans="1:7">
      <c r="A83" s="3090"/>
      <c r="B83" s="3089"/>
      <c r="C83" s="3089"/>
      <c r="D83" s="3089"/>
      <c r="E83" s="3089"/>
      <c r="F83" s="3089"/>
      <c r="G83" s="3088"/>
    </row>
    <row r="84" spans="1:7" ht="15.75" thickBot="1">
      <c r="A84" s="3087"/>
      <c r="B84" s="3086"/>
      <c r="C84" s="3086"/>
      <c r="D84" s="3086"/>
      <c r="E84" s="3086"/>
      <c r="F84" s="3086"/>
      <c r="G84" s="3085"/>
    </row>
  </sheetData>
  <sheetProtection selectLockedCells="1"/>
  <mergeCells count="14">
    <mergeCell ref="B80:C80"/>
    <mergeCell ref="B82:C82"/>
    <mergeCell ref="B73:D73"/>
    <mergeCell ref="F73:G76"/>
    <mergeCell ref="B74:D74"/>
    <mergeCell ref="B75:D75"/>
    <mergeCell ref="B76:D76"/>
    <mergeCell ref="B78:D78"/>
    <mergeCell ref="B21:G21"/>
    <mergeCell ref="A2:G4"/>
    <mergeCell ref="D5:E5"/>
    <mergeCell ref="F5:G5"/>
    <mergeCell ref="D7:G7"/>
    <mergeCell ref="B11:G11"/>
  </mergeCells>
  <conditionalFormatting sqref="B82:C82 E82">
    <cfRule type="containsErrors" dxfId="361" priority="2">
      <formula>ISERROR(B82)</formula>
    </cfRule>
  </conditionalFormatting>
  <conditionalFormatting sqref="E78">
    <cfRule type="containsErrors" dxfId="360" priority="1">
      <formula>ISERROR(E78)</formula>
    </cfRule>
  </conditionalFormatting>
  <pageMargins left="0.7" right="0.7" top="0.78740157499999996" bottom="0.78740157499999996" header="0.3" footer="0.3"/>
  <pageSetup paperSize="9" scale="54" orientation="portrait" r:id="rId1"/>
  <headerFooter>
    <oddFooter>&amp;L&amp;A&amp;C&amp;F&amp;R&amp;P von &amp;N</oddFooter>
  </headerFooter>
  <rowBreaks count="1" manualBreakCount="1">
    <brk id="5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pageSetUpPr fitToPage="1"/>
  </sheetPr>
  <dimension ref="A1:Q31"/>
  <sheetViews>
    <sheetView zoomScale="150" zoomScaleNormal="150" workbookViewId="0">
      <selection activeCell="C1" sqref="C1:G1"/>
    </sheetView>
  </sheetViews>
  <sheetFormatPr baseColWidth="10" defaultColWidth="11.42578125" defaultRowHeight="12.75"/>
  <cols>
    <col min="1" max="7" width="11.42578125" style="1958"/>
    <col min="8" max="8" width="12.28515625" style="1958" customWidth="1"/>
    <col min="9" max="9" width="11.42578125" style="1958"/>
    <col min="10" max="10" width="11.42578125" style="1958" customWidth="1"/>
    <col min="11" max="16384" width="11.42578125" style="1958"/>
  </cols>
  <sheetData>
    <row r="1" spans="1:17" ht="29.25" thickBot="1">
      <c r="A1" s="1951"/>
      <c r="B1" s="1952"/>
      <c r="C1" s="4383" t="s">
        <v>839</v>
      </c>
      <c r="D1" s="4384"/>
      <c r="E1" s="4384"/>
      <c r="F1" s="4384"/>
      <c r="G1" s="4385"/>
      <c r="H1" s="1953"/>
      <c r="I1" s="1953"/>
      <c r="J1" s="1954"/>
      <c r="K1" s="662"/>
      <c r="L1" s="1955" t="s">
        <v>1147</v>
      </c>
      <c r="M1" s="1956"/>
      <c r="N1" s="1956"/>
      <c r="O1" s="1957"/>
      <c r="P1" s="1957"/>
      <c r="Q1" s="1957"/>
    </row>
    <row r="2" spans="1:17" ht="21">
      <c r="A2" s="4380" t="str">
        <f>"Ermittlung einer laufzeitabhängigen Personalkostensteigerung ab "&amp;TEXT('Copy &amp; Paste'!G21,"TT.MM.JJJJ")</f>
        <v>Ermittlung einer laufzeitabhängigen Personalkostensteigerung ab 01.03.2025</v>
      </c>
      <c r="B2" s="4381"/>
      <c r="C2" s="4381"/>
      <c r="D2" s="4381"/>
      <c r="E2" s="4381"/>
      <c r="F2" s="4381"/>
      <c r="G2" s="4381"/>
      <c r="H2" s="4381"/>
      <c r="I2" s="4381"/>
      <c r="J2" s="4382"/>
      <c r="K2" s="686"/>
      <c r="L2" s="1955" t="s">
        <v>1193</v>
      </c>
      <c r="M2" s="1956"/>
      <c r="N2" s="1956"/>
      <c r="O2" s="1957"/>
      <c r="P2" s="1957"/>
      <c r="Q2" s="1957"/>
    </row>
    <row r="3" spans="1:17" ht="21.75" thickBot="1">
      <c r="A3" s="4380" t="s">
        <v>809</v>
      </c>
      <c r="B3" s="4381"/>
      <c r="C3" s="4381"/>
      <c r="D3" s="4381"/>
      <c r="E3" s="4381"/>
      <c r="F3" s="4381"/>
      <c r="G3" s="4381"/>
      <c r="H3" s="4381"/>
      <c r="I3" s="4381"/>
      <c r="J3" s="4382"/>
      <c r="K3" s="1957"/>
      <c r="L3" s="1957"/>
      <c r="M3" s="1956"/>
      <c r="N3" s="1956"/>
      <c r="O3" s="1957"/>
      <c r="P3" s="1957"/>
      <c r="Q3" s="1957"/>
    </row>
    <row r="4" spans="1:17" ht="48" thickBot="1">
      <c r="A4" s="1959" t="s">
        <v>840</v>
      </c>
      <c r="B4" s="1960" t="s">
        <v>841</v>
      </c>
      <c r="C4" s="1959" t="s">
        <v>842</v>
      </c>
      <c r="D4" s="1959" t="s">
        <v>218</v>
      </c>
      <c r="E4" s="1960" t="s">
        <v>847</v>
      </c>
      <c r="F4" s="1960" t="s">
        <v>845</v>
      </c>
      <c r="G4" s="1960" t="s">
        <v>843</v>
      </c>
      <c r="H4" s="1961" t="s">
        <v>846</v>
      </c>
      <c r="I4" s="1962"/>
      <c r="J4" s="1963"/>
      <c r="K4" s="1964"/>
      <c r="L4" s="1956"/>
      <c r="M4" s="1956"/>
      <c r="N4" s="1956"/>
      <c r="O4" s="1957"/>
      <c r="P4" s="1957"/>
      <c r="Q4" s="1957"/>
    </row>
    <row r="5" spans="1:17" ht="16.5" thickBot="1">
      <c r="A5" s="1965"/>
      <c r="B5" s="1966"/>
      <c r="C5" s="1966"/>
      <c r="D5" s="1966"/>
      <c r="E5" s="1967"/>
      <c r="F5" s="1967"/>
      <c r="G5" s="1967"/>
      <c r="H5" s="1968" t="e">
        <f>Ergebnis!A25*100</f>
        <v>#VALUE!</v>
      </c>
      <c r="I5" s="1962"/>
      <c r="J5" s="1963"/>
      <c r="K5" s="1969" t="str">
        <f>"Fachkraftquote "&amp;A6</f>
        <v>Fachkraftquote 2022</v>
      </c>
      <c r="L5" s="1970" t="str">
        <f>"ø PK "&amp;A6</f>
        <v>ø PK 2022</v>
      </c>
      <c r="M5" s="1956"/>
      <c r="N5" s="1956"/>
      <c r="O5" s="1957"/>
      <c r="P5" s="1957"/>
      <c r="Q5" s="1957"/>
    </row>
    <row r="6" spans="1:17">
      <c r="A6" s="1971">
        <f>'Copy &amp; Paste'!C19-1</f>
        <v>2022</v>
      </c>
      <c r="B6" s="1972">
        <f>K6*100</f>
        <v>0</v>
      </c>
      <c r="C6" s="1973"/>
      <c r="D6" s="1107"/>
      <c r="E6" s="1974"/>
      <c r="F6" s="1106"/>
      <c r="G6" s="1975" t="e">
        <f>L6*(1+$F$7)*(1+$F$8)*(1+$F$9)</f>
        <v>#DIV/0!</v>
      </c>
      <c r="H6" s="1976" t="e">
        <f>$G$6-(($B$6-$H$5)*60)</f>
        <v>#DIV/0!</v>
      </c>
      <c r="I6" s="1977"/>
      <c r="J6" s="1963"/>
      <c r="K6" s="1978"/>
      <c r="L6" s="1979"/>
      <c r="M6" s="1957"/>
      <c r="N6" s="1957"/>
      <c r="O6" s="1957"/>
      <c r="P6" s="1957"/>
      <c r="Q6" s="1957"/>
    </row>
    <row r="7" spans="1:17" ht="13.5" customHeight="1">
      <c r="A7" s="1980">
        <f>A6+1</f>
        <v>2023</v>
      </c>
      <c r="B7" s="1972">
        <f>Personalkosten!D27*100</f>
        <v>0</v>
      </c>
      <c r="C7" s="1981"/>
      <c r="D7" s="1982" t="e">
        <f>K8</f>
        <v>#DIV/0!</v>
      </c>
      <c r="E7" s="1974" t="e">
        <f>C7-D7</f>
        <v>#DIV/0!</v>
      </c>
      <c r="F7" s="1983" t="e">
        <f>IF(C7&gt;D7,D7,C7)</f>
        <v>#DIV/0!</v>
      </c>
      <c r="G7" s="1984" t="e">
        <f>Personalkosten!D26*(1+F8)*(1+F9)</f>
        <v>#DIV/0!</v>
      </c>
      <c r="H7" s="1985" t="e">
        <f>G7-((B7-$H$5)*60)</f>
        <v>#DIV/0!</v>
      </c>
      <c r="I7" s="1986"/>
      <c r="J7" s="1963"/>
      <c r="K7" s="2663" t="str">
        <f>"Veränderung "&amp;A6&amp;" nach "&amp;A7</f>
        <v>Veränderung 2022 nach 2023</v>
      </c>
      <c r="L7" s="1987" t="str">
        <f>"ø PK "&amp;A7</f>
        <v>ø PK 2023</v>
      </c>
      <c r="M7" s="1957"/>
      <c r="N7" s="1957"/>
      <c r="O7" s="1957"/>
      <c r="P7" s="1957"/>
      <c r="Q7" s="1957"/>
    </row>
    <row r="8" spans="1:17" ht="13.5" thickBot="1">
      <c r="A8" s="1980">
        <f>A7+1</f>
        <v>2024</v>
      </c>
      <c r="B8" s="1972">
        <f>Personalkosten!E27*100</f>
        <v>0</v>
      </c>
      <c r="C8" s="1981"/>
      <c r="D8" s="1982" t="e">
        <f>Personalkosten!F26</f>
        <v>#DIV/0!</v>
      </c>
      <c r="E8" s="1974" t="e">
        <f>C8-D8</f>
        <v>#DIV/0!</v>
      </c>
      <c r="F8" s="1983" t="e">
        <f>IF(C8&gt;D8,D8,C8)</f>
        <v>#DIV/0!</v>
      </c>
      <c r="G8" s="1988" t="e">
        <f>Personalkosten!E26*(1+F9)</f>
        <v>#DIV/0!</v>
      </c>
      <c r="H8" s="1989" t="e">
        <f>G8-((B8-$H$5)*60)</f>
        <v>#DIV/0!</v>
      </c>
      <c r="I8" s="1986"/>
      <c r="J8" s="1963"/>
      <c r="K8" s="1990" t="e">
        <f>(L8-L6)/L6</f>
        <v>#DIV/0!</v>
      </c>
      <c r="L8" s="1991" t="e">
        <f>Personalkosten!D26</f>
        <v>#DIV/0!</v>
      </c>
      <c r="M8" s="1956"/>
      <c r="N8" s="1956"/>
      <c r="O8" s="1957"/>
      <c r="P8" s="1957"/>
      <c r="Q8" s="1957"/>
    </row>
    <row r="9" spans="1:17">
      <c r="A9" s="1980">
        <f>A8+1</f>
        <v>2025</v>
      </c>
      <c r="B9" s="1972">
        <f>Personalkosten!G27*100</f>
        <v>0</v>
      </c>
      <c r="C9" s="1981"/>
      <c r="D9" s="1982" t="e">
        <f>Personalkosten!H26</f>
        <v>#DIV/0!</v>
      </c>
      <c r="E9" s="1974" t="e">
        <f>C9-D9</f>
        <v>#DIV/0!</v>
      </c>
      <c r="F9" s="1982" t="e">
        <f>IF(C9&gt;D9,D9,C9)</f>
        <v>#DIV/0!</v>
      </c>
      <c r="G9" s="800"/>
      <c r="H9" s="800"/>
      <c r="I9" s="1986"/>
      <c r="J9" s="1963"/>
      <c r="K9" s="1964"/>
      <c r="L9" s="1956"/>
      <c r="M9" s="1956"/>
      <c r="N9" s="1956"/>
      <c r="O9" s="1957"/>
      <c r="P9" s="1957"/>
      <c r="Q9" s="1957"/>
    </row>
    <row r="10" spans="1:17">
      <c r="A10" s="1992"/>
      <c r="B10" s="800"/>
      <c r="C10" s="1993">
        <f>SUM(C7:C9)</f>
        <v>0</v>
      </c>
      <c r="D10" s="1993" t="e">
        <f>SUM(D7:D9)</f>
        <v>#DIV/0!</v>
      </c>
      <c r="E10" s="1994" t="e">
        <f>C10-D10</f>
        <v>#DIV/0!</v>
      </c>
      <c r="F10" s="1995" t="e">
        <f>SUM(F7:F9)</f>
        <v>#DIV/0!</v>
      </c>
      <c r="G10" s="1996"/>
      <c r="H10" s="4379"/>
      <c r="I10" s="1986"/>
      <c r="J10" s="1963"/>
      <c r="K10" s="1964"/>
      <c r="L10" s="1956"/>
      <c r="M10" s="1956"/>
      <c r="N10" s="1956"/>
      <c r="O10" s="1957"/>
      <c r="P10" s="1957"/>
      <c r="Q10" s="1957"/>
    </row>
    <row r="11" spans="1:17">
      <c r="A11" s="1992"/>
      <c r="B11" s="800"/>
      <c r="C11" s="1996"/>
      <c r="D11" s="800"/>
      <c r="E11" s="1997"/>
      <c r="F11" s="800"/>
      <c r="G11" s="1996"/>
      <c r="H11" s="4379"/>
      <c r="I11" s="1986"/>
      <c r="J11" s="1963"/>
      <c r="K11" s="1964"/>
      <c r="L11" s="1956"/>
      <c r="M11" s="1956"/>
      <c r="N11" s="1956"/>
      <c r="O11" s="1957"/>
      <c r="P11" s="1957"/>
      <c r="Q11" s="1957"/>
    </row>
    <row r="12" spans="1:17" ht="21">
      <c r="A12" s="4380" t="s">
        <v>844</v>
      </c>
      <c r="B12" s="4381"/>
      <c r="C12" s="4381"/>
      <c r="D12" s="4381"/>
      <c r="E12" s="4381"/>
      <c r="F12" s="4381"/>
      <c r="G12" s="4381"/>
      <c r="H12" s="4381"/>
      <c r="I12" s="4381"/>
      <c r="J12" s="4382"/>
      <c r="K12" s="1964"/>
      <c r="L12" s="1956"/>
      <c r="M12" s="1956"/>
      <c r="N12" s="1956"/>
      <c r="O12" s="1957"/>
      <c r="P12" s="1957"/>
      <c r="Q12" s="1957"/>
    </row>
    <row r="13" spans="1:17" ht="13.5" thickBot="1">
      <c r="A13" s="1992"/>
      <c r="B13" s="800"/>
      <c r="C13" s="800"/>
      <c r="D13" s="800"/>
      <c r="E13" s="800"/>
      <c r="F13" s="800"/>
      <c r="G13" s="800"/>
      <c r="H13" s="800"/>
      <c r="I13" s="1986"/>
      <c r="J13" s="1963"/>
      <c r="K13" s="1964"/>
      <c r="L13" s="1956"/>
      <c r="M13" s="1956"/>
      <c r="N13" s="1956"/>
      <c r="O13" s="1957"/>
      <c r="P13" s="1957"/>
      <c r="Q13" s="1957"/>
    </row>
    <row r="14" spans="1:17" ht="13.5" thickBot="1">
      <c r="A14" s="1980">
        <f>A6</f>
        <v>2022</v>
      </c>
      <c r="B14" s="800"/>
      <c r="C14" s="800"/>
      <c r="D14" s="800"/>
      <c r="E14" s="800"/>
      <c r="F14" s="800"/>
      <c r="G14" s="1975" t="e">
        <f>L15*(1+$F$15)*(1+$F$16)*(1+$F$17)</f>
        <v>#VALUE!</v>
      </c>
      <c r="H14" s="1998"/>
      <c r="I14" s="1999"/>
      <c r="J14" s="2000"/>
      <c r="K14" s="2001"/>
      <c r="L14" s="2002" t="str">
        <f>"ø PK "&amp;A14</f>
        <v>ø PK 2022</v>
      </c>
      <c r="M14" s="1957"/>
      <c r="N14" s="1957"/>
      <c r="O14" s="1957"/>
      <c r="P14" s="1957"/>
      <c r="Q14" s="1957"/>
    </row>
    <row r="15" spans="1:17">
      <c r="A15" s="1980">
        <f>A7</f>
        <v>2023</v>
      </c>
      <c r="B15" s="800"/>
      <c r="C15" s="2003">
        <f>C7</f>
        <v>0</v>
      </c>
      <c r="D15" s="1982" t="e">
        <f>K17</f>
        <v>#VALUE!</v>
      </c>
      <c r="E15" s="1974" t="e">
        <f>C15-D15</f>
        <v>#VALUE!</v>
      </c>
      <c r="F15" s="1983" t="e">
        <f>IF(C15&gt;D15,D15,C15)</f>
        <v>#VALUE!</v>
      </c>
      <c r="G15" s="1984" t="e">
        <f>Personalkosten!D33*(1+$F$16)*(1+$F$17)</f>
        <v>#VALUE!</v>
      </c>
      <c r="H15" s="1998"/>
      <c r="I15" s="1999"/>
      <c r="J15" s="2000"/>
      <c r="K15" s="2004"/>
      <c r="L15" s="1979"/>
      <c r="M15" s="1957"/>
      <c r="N15" s="1957"/>
      <c r="O15" s="1957"/>
      <c r="P15" s="1957"/>
      <c r="Q15" s="1957"/>
    </row>
    <row r="16" spans="1:17" ht="13.5" customHeight="1" thickBot="1">
      <c r="A16" s="1980">
        <f>A8</f>
        <v>2024</v>
      </c>
      <c r="B16" s="800"/>
      <c r="C16" s="2003">
        <f>C8</f>
        <v>0</v>
      </c>
      <c r="D16" s="1982" t="e">
        <f>Personalkosten!F33</f>
        <v>#VALUE!</v>
      </c>
      <c r="E16" s="1974" t="e">
        <f>C16-D16</f>
        <v>#VALUE!</v>
      </c>
      <c r="F16" s="1983" t="e">
        <f>IF(C16&gt;D16,D16,C16)</f>
        <v>#VALUE!</v>
      </c>
      <c r="G16" s="1988" t="e">
        <f>Personalkosten!E33*(1+$F$17)</f>
        <v>#VALUE!</v>
      </c>
      <c r="H16" s="1998"/>
      <c r="I16" s="1999"/>
      <c r="J16" s="2000"/>
      <c r="K16" s="2663" t="str">
        <f>"Veränderung "&amp;A15&amp;" nach "&amp;A16</f>
        <v>Veränderung 2023 nach 2024</v>
      </c>
      <c r="L16" s="1987" t="str">
        <f>"ø PK "&amp;A15</f>
        <v>ø PK 2023</v>
      </c>
      <c r="M16" s="1956"/>
      <c r="N16" s="1956"/>
      <c r="O16" s="1957"/>
      <c r="P16" s="1957"/>
      <c r="Q16" s="1957"/>
    </row>
    <row r="17" spans="1:17" ht="13.5" thickBot="1">
      <c r="A17" s="1980">
        <f>A9</f>
        <v>2025</v>
      </c>
      <c r="B17" s="800"/>
      <c r="C17" s="2003">
        <f>C9</f>
        <v>0</v>
      </c>
      <c r="D17" s="1982" t="e">
        <f>Personalkosten!H33</f>
        <v>#VALUE!</v>
      </c>
      <c r="E17" s="1974" t="e">
        <f>C17-D17</f>
        <v>#VALUE!</v>
      </c>
      <c r="F17" s="1982" t="e">
        <f>IF(C17&gt;D17,D17,C17)</f>
        <v>#VALUE!</v>
      </c>
      <c r="G17" s="1996"/>
      <c r="H17" s="4379"/>
      <c r="I17" s="1999"/>
      <c r="J17" s="2000"/>
      <c r="K17" s="1990" t="e">
        <f>(L17-L15)/L15</f>
        <v>#VALUE!</v>
      </c>
      <c r="L17" s="1991" t="str">
        <f>Personalkosten!D33</f>
        <v/>
      </c>
      <c r="M17" s="1956"/>
      <c r="N17" s="1956"/>
      <c r="O17" s="1957"/>
      <c r="P17" s="1957"/>
      <c r="Q17" s="1957"/>
    </row>
    <row r="18" spans="1:17">
      <c r="A18" s="1992"/>
      <c r="B18" s="800"/>
      <c r="C18" s="2005">
        <f>SUM(C15:C17)</f>
        <v>0</v>
      </c>
      <c r="D18" s="1993" t="e">
        <f>SUM(D15:D17)</f>
        <v>#VALUE!</v>
      </c>
      <c r="E18" s="1994" t="e">
        <f>C18-D18</f>
        <v>#VALUE!</v>
      </c>
      <c r="F18" s="1995" t="e">
        <f>SUM(F15:F17)</f>
        <v>#VALUE!</v>
      </c>
      <c r="G18" s="1996"/>
      <c r="H18" s="4379"/>
      <c r="I18" s="1999"/>
      <c r="J18" s="2000"/>
      <c r="K18" s="1964"/>
      <c r="L18" s="1956"/>
      <c r="M18" s="1956"/>
      <c r="N18" s="1956"/>
      <c r="O18" s="1957"/>
      <c r="P18" s="1957"/>
      <c r="Q18" s="1957"/>
    </row>
    <row r="19" spans="1:17" ht="13.5" thickBot="1">
      <c r="A19" s="2006"/>
      <c r="B19" s="2007"/>
      <c r="C19" s="2007"/>
      <c r="D19" s="2007"/>
      <c r="E19" s="2007"/>
      <c r="F19" s="2007"/>
      <c r="G19" s="2008"/>
      <c r="H19" s="2007"/>
      <c r="I19" s="2009"/>
      <c r="J19" s="2010"/>
      <c r="K19" s="1964"/>
      <c r="L19" s="1956"/>
      <c r="M19" s="1956"/>
      <c r="N19" s="1956"/>
      <c r="O19" s="1957"/>
      <c r="P19" s="1957"/>
      <c r="Q19" s="1957"/>
    </row>
    <row r="20" spans="1:17">
      <c r="A20" s="1957"/>
      <c r="B20" s="1957"/>
      <c r="C20" s="1957"/>
      <c r="D20" s="1957"/>
      <c r="E20" s="1957"/>
      <c r="F20" s="1957"/>
      <c r="G20" s="1957"/>
      <c r="H20" s="1957"/>
      <c r="I20" s="1957"/>
      <c r="J20" s="1957"/>
      <c r="K20" s="1964"/>
      <c r="L20" s="1956"/>
      <c r="M20" s="1957"/>
      <c r="N20" s="1957"/>
      <c r="O20" s="1957"/>
      <c r="P20" s="1957"/>
      <c r="Q20" s="1957"/>
    </row>
    <row r="21" spans="1:17">
      <c r="A21" s="1957"/>
      <c r="B21" s="1957"/>
      <c r="C21" s="1957"/>
      <c r="D21" s="1957"/>
      <c r="E21" s="1957"/>
      <c r="F21" s="1957"/>
      <c r="G21" s="1957"/>
      <c r="H21" s="1957"/>
      <c r="I21" s="1957"/>
      <c r="J21" s="1957"/>
      <c r="K21" s="1964"/>
      <c r="L21" s="1956"/>
      <c r="M21" s="1957"/>
      <c r="N21" s="1957"/>
      <c r="O21" s="1957"/>
      <c r="P21" s="1957"/>
      <c r="Q21" s="1957"/>
    </row>
    <row r="22" spans="1:17">
      <c r="A22" s="1957"/>
      <c r="B22" s="1957"/>
      <c r="C22" s="1957"/>
      <c r="D22" s="1957"/>
      <c r="E22" s="1957"/>
      <c r="F22" s="1957"/>
      <c r="G22" s="1957"/>
      <c r="H22" s="1957"/>
      <c r="I22" s="1957"/>
      <c r="J22" s="1957"/>
      <c r="K22" s="1957"/>
      <c r="L22" s="1957"/>
      <c r="M22" s="1957"/>
      <c r="N22" s="1957"/>
      <c r="O22" s="1957"/>
      <c r="P22" s="1957"/>
      <c r="Q22" s="1957"/>
    </row>
    <row r="23" spans="1:17">
      <c r="A23" s="1957"/>
      <c r="B23" s="1957"/>
      <c r="C23" s="1957"/>
      <c r="D23" s="1957"/>
      <c r="E23" s="1957"/>
      <c r="F23" s="1957"/>
      <c r="G23" s="1957"/>
      <c r="H23" s="1957"/>
      <c r="I23" s="1957"/>
      <c r="J23" s="1957"/>
      <c r="K23" s="1957"/>
      <c r="L23" s="1957"/>
      <c r="M23" s="1957"/>
      <c r="N23" s="1957"/>
      <c r="O23" s="1957"/>
      <c r="P23" s="1957"/>
      <c r="Q23" s="1957"/>
    </row>
    <row r="24" spans="1:17">
      <c r="A24" s="1957"/>
      <c r="B24" s="1957"/>
      <c r="C24" s="1957"/>
      <c r="D24" s="1957"/>
      <c r="E24" s="1957"/>
      <c r="F24" s="1957"/>
      <c r="G24" s="1957"/>
      <c r="H24" s="1957"/>
      <c r="I24" s="1957"/>
      <c r="J24" s="1957"/>
      <c r="K24" s="1957"/>
      <c r="L24" s="1957"/>
      <c r="M24" s="1957"/>
      <c r="N24" s="1957"/>
      <c r="O24" s="1957"/>
      <c r="P24" s="1957"/>
      <c r="Q24" s="1957"/>
    </row>
    <row r="25" spans="1:17">
      <c r="A25" s="1957"/>
      <c r="B25" s="1957"/>
      <c r="C25" s="1957"/>
      <c r="D25" s="1957"/>
      <c r="E25" s="1957"/>
      <c r="F25" s="1957"/>
      <c r="G25" s="1957"/>
      <c r="H25" s="1957"/>
      <c r="I25" s="1957"/>
      <c r="J25" s="1957"/>
      <c r="K25" s="1957"/>
      <c r="L25" s="1957"/>
      <c r="M25" s="1957"/>
      <c r="N25" s="1957"/>
      <c r="O25" s="1957"/>
      <c r="P25" s="1957"/>
      <c r="Q25" s="1957"/>
    </row>
    <row r="26" spans="1:17">
      <c r="A26" s="1957"/>
      <c r="B26" s="1957"/>
      <c r="C26" s="1957"/>
      <c r="D26" s="1957"/>
      <c r="E26" s="1957"/>
      <c r="F26" s="1957"/>
      <c r="G26" s="1957"/>
      <c r="H26" s="1957"/>
      <c r="I26" s="1957"/>
      <c r="J26" s="1957"/>
      <c r="K26" s="1957"/>
      <c r="L26" s="1957"/>
      <c r="M26" s="1957"/>
      <c r="N26" s="1957"/>
      <c r="O26" s="1957"/>
      <c r="P26" s="1957"/>
      <c r="Q26" s="1957"/>
    </row>
    <row r="27" spans="1:17">
      <c r="A27" s="1957"/>
      <c r="B27" s="1957"/>
      <c r="C27" s="1957"/>
      <c r="D27" s="1957"/>
      <c r="E27" s="1957"/>
      <c r="F27" s="1957"/>
      <c r="G27" s="1957"/>
      <c r="H27" s="1957"/>
      <c r="I27" s="1957"/>
      <c r="J27" s="1957"/>
      <c r="K27" s="1957"/>
      <c r="L27" s="1957"/>
      <c r="M27" s="1957"/>
      <c r="N27" s="1957"/>
      <c r="O27" s="1957"/>
      <c r="P27" s="1957"/>
      <c r="Q27" s="1957"/>
    </row>
    <row r="28" spans="1:17">
      <c r="A28" s="1957"/>
      <c r="B28" s="1957"/>
      <c r="C28" s="1957"/>
      <c r="D28" s="1957"/>
      <c r="E28" s="1957"/>
      <c r="F28" s="1957"/>
      <c r="G28" s="1957"/>
      <c r="H28" s="1957"/>
      <c r="I28" s="1957"/>
      <c r="J28" s="1957"/>
      <c r="K28" s="1957"/>
      <c r="L28" s="1957"/>
      <c r="M28" s="1957"/>
      <c r="N28" s="1957"/>
      <c r="O28" s="1957"/>
      <c r="P28" s="1957"/>
      <c r="Q28" s="1957"/>
    </row>
    <row r="29" spans="1:17">
      <c r="A29" s="1957"/>
      <c r="B29" s="1957"/>
      <c r="C29" s="1957"/>
      <c r="D29" s="1957"/>
      <c r="E29" s="1957"/>
      <c r="F29" s="1957"/>
      <c r="G29" s="1957"/>
      <c r="H29" s="1957"/>
      <c r="I29" s="1957"/>
      <c r="J29" s="1957"/>
      <c r="K29" s="1957"/>
      <c r="L29" s="1957"/>
      <c r="M29" s="1957"/>
      <c r="N29" s="1957"/>
      <c r="O29" s="1957"/>
      <c r="P29" s="1957"/>
      <c r="Q29" s="1957"/>
    </row>
    <row r="30" spans="1:17">
      <c r="K30" s="1957"/>
      <c r="L30" s="1957"/>
    </row>
    <row r="31" spans="1:17">
      <c r="K31" s="1957"/>
      <c r="L31" s="1957"/>
    </row>
  </sheetData>
  <mergeCells count="6">
    <mergeCell ref="H10:H11"/>
    <mergeCell ref="H17:H18"/>
    <mergeCell ref="A2:J2"/>
    <mergeCell ref="A3:J3"/>
    <mergeCell ref="C1:G1"/>
    <mergeCell ref="A12:J12"/>
  </mergeCells>
  <conditionalFormatting sqref="A11:G11">
    <cfRule type="expression" dxfId="359" priority="7" stopIfTrue="1">
      <formula>OR(#REF!="COE",#REF!="DO")</formula>
    </cfRule>
  </conditionalFormatting>
  <conditionalFormatting sqref="A13:G13">
    <cfRule type="expression" dxfId="358" priority="9" stopIfTrue="1">
      <formula>OR(#REF!="BOR",#REF!="COE")</formula>
    </cfRule>
  </conditionalFormatting>
  <conditionalFormatting sqref="D7:F10 D15:F18 G6:H8 G14:G16 K8 K17">
    <cfRule type="containsErrors" dxfId="357" priority="6">
      <formula>ISERROR(D6)</formula>
    </cfRule>
  </conditionalFormatting>
  <conditionalFormatting sqref="C10 C18">
    <cfRule type="cellIs" dxfId="356" priority="5" operator="equal">
      <formula>0</formula>
    </cfRule>
  </conditionalFormatting>
  <conditionalFormatting sqref="C15:C17">
    <cfRule type="cellIs" dxfId="355" priority="4" operator="equal">
      <formula>0</formula>
    </cfRule>
  </conditionalFormatting>
  <conditionalFormatting sqref="H5">
    <cfRule type="containsErrors" dxfId="354" priority="3">
      <formula>ISERROR(H5)</formula>
    </cfRule>
  </conditionalFormatting>
  <conditionalFormatting sqref="B7:B9">
    <cfRule type="containsErrors" dxfId="353" priority="2">
      <formula>ISERROR(B7)</formula>
    </cfRule>
  </conditionalFormatting>
  <conditionalFormatting sqref="B6">
    <cfRule type="cellIs" dxfId="352" priority="1" operator="equal">
      <formula>0</formula>
    </cfRule>
  </conditionalFormatting>
  <dataValidations count="3">
    <dataValidation allowBlank="1" showErrorMessage="1" promptTitle="Tarifsteigerung 2011 nach 2012" prompt="_x000a_Bitte geben Sie die Tarfisteigerung von 2011 nach 2012 ein." sqref="D8:D9 D16:D17"/>
    <dataValidation allowBlank="1" showErrorMessage="1" promptTitle="Tarifsteigerung 2010 nach 2011" prompt="_x000a_Bitte geben Sie die Tarifsteigerung von 2010 nach 2011 ein." sqref="D7 D15"/>
    <dataValidation type="list" allowBlank="1" showInputMessage="1" showErrorMessage="1" sqref="C1:G1">
      <formula1>"AVR Caritas,AVR DW,AVR-Johanniter,BAT KF,AWO West,TVöD,privatgewerblich"</formula1>
    </dataValidation>
  </dataValidations>
  <printOptions horizontalCentered="1" verticalCentered="1"/>
  <pageMargins left="0.70866141732283472" right="0.70866141732283472" top="0.78740157480314965" bottom="0.78740157480314965" header="0.31496062992125984" footer="0.31496062992125984"/>
  <pageSetup paperSize="9" orientation="landscape" r:id="rId1"/>
  <colBreaks count="1" manualBreakCount="1">
    <brk id="10" max="18"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rgb="FF00B050"/>
    <pageSetUpPr fitToPage="1"/>
  </sheetPr>
  <dimension ref="A1:AK588"/>
  <sheetViews>
    <sheetView zoomScale="120" zoomScaleNormal="120" workbookViewId="0">
      <selection activeCell="G24" sqref="G24"/>
    </sheetView>
  </sheetViews>
  <sheetFormatPr baseColWidth="10" defaultColWidth="11.42578125" defaultRowHeight="12.75" outlineLevelRow="1" outlineLevelCol="1"/>
  <cols>
    <col min="1" max="1" width="38.85546875" style="1149" customWidth="1"/>
    <col min="2" max="4" width="14.42578125" style="1149" customWidth="1"/>
    <col min="5" max="5" width="15.28515625" style="1150" customWidth="1"/>
    <col min="6" max="8" width="14.42578125" style="1149" customWidth="1"/>
    <col min="9" max="9" width="16.5703125" style="1149" customWidth="1"/>
    <col min="10" max="10" width="14.42578125" style="1149" customWidth="1"/>
    <col min="11" max="11" width="14.7109375" style="1148" customWidth="1"/>
    <col min="12" max="12" width="17" style="668" customWidth="1" outlineLevel="1"/>
    <col min="13" max="13" width="13.42578125" style="668" customWidth="1" outlineLevel="1"/>
    <col min="14" max="15" width="12.7109375" style="668" customWidth="1" outlineLevel="1"/>
    <col min="16" max="16" width="12.5703125" style="668" customWidth="1" outlineLevel="1"/>
    <col min="17" max="17" width="12" style="668" customWidth="1" outlineLevel="1"/>
    <col min="18" max="18" width="13" style="668" customWidth="1" outlineLevel="1"/>
    <col min="19" max="19" width="11.42578125" style="668" customWidth="1" outlineLevel="1"/>
    <col min="20" max="20" width="11.42578125" style="668"/>
    <col min="21" max="28" width="11.42578125" style="668" customWidth="1" outlineLevel="1"/>
    <col min="29" max="16384" width="11.42578125" style="668"/>
  </cols>
  <sheetData>
    <row r="1" spans="1:37" ht="21.75" thickBot="1">
      <c r="A1" s="4413">
        <f>IF('Copy &amp; Paste'!B6="",'Copy &amp; Paste'!B5,CONCATENATE('Copy &amp; Paste'!B5,", - ",'Copy &amp; Paste'!B6,"- , "))</f>
        <v>0</v>
      </c>
      <c r="B1" s="4414"/>
      <c r="C1" s="656" t="e">
        <f>IF(ISBLANK(Ort),"",VLOOKUP(Ort,Datenbereich,2,FALSE))</f>
        <v>#N/A</v>
      </c>
      <c r="D1" s="657" t="e">
        <f>IF(ISBLANK(Ort),"",VLOOKUP(Ort,Datenbereich,3,FALSE))</f>
        <v>#N/A</v>
      </c>
      <c r="E1" s="658"/>
      <c r="F1" s="659"/>
      <c r="G1" s="660"/>
      <c r="H1" s="4422" t="s">
        <v>100</v>
      </c>
      <c r="I1" s="4422"/>
      <c r="J1" s="661"/>
      <c r="K1" s="662"/>
      <c r="L1" s="663" t="s">
        <v>1147</v>
      </c>
      <c r="M1" s="664"/>
      <c r="N1" s="664"/>
      <c r="O1" s="665"/>
      <c r="P1" s="665"/>
      <c r="Q1" s="665"/>
      <c r="R1" s="665"/>
      <c r="S1" s="665"/>
      <c r="T1" s="665"/>
      <c r="U1" s="665"/>
      <c r="V1" s="665"/>
      <c r="W1" s="665"/>
      <c r="X1" s="665"/>
      <c r="Y1" s="665"/>
      <c r="Z1" s="666"/>
      <c r="AA1" s="667"/>
    </row>
    <row r="2" spans="1:37" ht="21.75" thickBot="1">
      <c r="A2" s="669" t="str">
        <f>IF(ISBLANK('Seite 1'!C7),"",'Seite 1'!C7)</f>
        <v/>
      </c>
      <c r="B2" s="665"/>
      <c r="C2" s="670" t="str">
        <f>IF(Ort&lt;&gt;"",VLOOKUP(Ort,Datenbereich,4,FALSE),"")</f>
        <v/>
      </c>
      <c r="D2" s="671"/>
      <c r="E2" s="4415" t="s">
        <v>80</v>
      </c>
      <c r="F2" s="4416"/>
      <c r="G2" s="672" t="s">
        <v>92</v>
      </c>
      <c r="H2" s="673">
        <f>'Copy &amp; Paste'!G21</f>
        <v>45717</v>
      </c>
      <c r="I2" s="674"/>
      <c r="J2" s="675" t="s">
        <v>240</v>
      </c>
      <c r="K2" s="676"/>
      <c r="L2" s="663" t="s">
        <v>1192</v>
      </c>
      <c r="M2" s="677"/>
      <c r="N2" s="664"/>
      <c r="O2" s="665"/>
      <c r="P2" s="665"/>
      <c r="Q2" s="665"/>
      <c r="R2" s="665"/>
      <c r="S2" s="665"/>
      <c r="T2" s="665"/>
      <c r="U2" s="665"/>
      <c r="V2" s="665"/>
      <c r="W2" s="665"/>
      <c r="X2" s="665"/>
      <c r="Y2" s="665"/>
      <c r="Z2" s="665"/>
      <c r="AA2" s="667"/>
    </row>
    <row r="3" spans="1:37" ht="21.75" thickBot="1">
      <c r="A3" s="678" t="str">
        <f>CONCATENATE('Seite 1'!C8," ",'Seite 1'!D8)</f>
        <v xml:space="preserve"> </v>
      </c>
      <c r="B3" s="679"/>
      <c r="C3" s="680" t="str">
        <f>IF(Ort&lt;&gt;"",VLOOKUP(Ort,Datenbereich,5,FALSE),"")</f>
        <v/>
      </c>
      <c r="D3" s="681" t="str">
        <f>C2</f>
        <v/>
      </c>
      <c r="E3" s="4417">
        <f>IK</f>
        <v>0</v>
      </c>
      <c r="F3" s="4418"/>
      <c r="G3" s="682" t="s">
        <v>93</v>
      </c>
      <c r="H3" s="683">
        <f>EOMONTH(H2,11)</f>
        <v>46081</v>
      </c>
      <c r="I3" s="684"/>
      <c r="J3" s="685">
        <f>(YEAR(H3)-YEAR(H2))*12+MONTH(H3)-MONTH(H2)+1</f>
        <v>12</v>
      </c>
      <c r="K3" s="686"/>
      <c r="L3" s="663" t="s">
        <v>1193</v>
      </c>
      <c r="M3" s="664"/>
      <c r="N3" s="664"/>
      <c r="O3" s="665"/>
      <c r="P3" s="665"/>
      <c r="Q3" s="665"/>
      <c r="R3" s="665"/>
      <c r="S3" s="665"/>
      <c r="T3" s="665"/>
      <c r="V3" s="3236">
        <f>W3-1</f>
        <v>2021</v>
      </c>
      <c r="W3" s="687">
        <f>X3-1</f>
        <v>2022</v>
      </c>
      <c r="X3" s="687">
        <f>'Copy &amp; Paste'!C19</f>
        <v>2023</v>
      </c>
      <c r="Y3" s="687">
        <f>X3+1</f>
        <v>2024</v>
      </c>
      <c r="Z3" s="688" t="s">
        <v>38</v>
      </c>
      <c r="AA3" s="688" t="str">
        <f>"MW "&amp;RIGHT(V3,2)&amp;" - "&amp;RIGHT(Y3,2)</f>
        <v>MW 21 - 24</v>
      </c>
      <c r="AB3" s="688" t="str">
        <f>"MW "&amp;RIGHT(W3,2)&amp;" - "&amp;RIGHT(Y3,2)</f>
        <v>MW 22 - 24</v>
      </c>
    </row>
    <row r="4" spans="1:37" s="702" customFormat="1" ht="12.75" customHeight="1" thickBot="1">
      <c r="A4" s="689"/>
      <c r="B4" s="690"/>
      <c r="C4" s="691"/>
      <c r="D4" s="4419" t="str">
        <f>IF('Copy &amp; Paste'!$H$15="nein","Erklärung der Bewohnervertretung fehlt noch !!!","")</f>
        <v>Erklärung der Bewohnervertretung fehlt noch !!!</v>
      </c>
      <c r="E4" s="4419"/>
      <c r="F4" s="4419"/>
      <c r="G4" s="4419"/>
      <c r="H4" s="692"/>
      <c r="I4" s="693"/>
      <c r="J4" s="694"/>
      <c r="K4" s="695"/>
      <c r="L4" s="695"/>
      <c r="M4" s="696"/>
      <c r="N4" s="696"/>
      <c r="O4" s="697"/>
      <c r="P4" s="697"/>
      <c r="Q4" s="697"/>
      <c r="R4" s="697"/>
      <c r="S4" s="697"/>
      <c r="T4" s="697"/>
      <c r="U4" s="698" t="s">
        <v>811</v>
      </c>
      <c r="V4" s="699"/>
      <c r="W4" s="699"/>
      <c r="X4" s="700" t="e">
        <f>Belegung!H5</f>
        <v>#VALUE!</v>
      </c>
      <c r="Y4" s="700" t="e">
        <f>Belegung!H18</f>
        <v>#VALUE!</v>
      </c>
      <c r="Z4" s="701" t="e">
        <f>Belegung!H31</f>
        <v>#VALUE!</v>
      </c>
      <c r="AA4" s="701" t="e">
        <f>AVERAGE(V4:Y4)</f>
        <v>#VALUE!</v>
      </c>
      <c r="AB4" s="701" t="e">
        <f>AVERAGE(W4:Y4)</f>
        <v>#VALUE!</v>
      </c>
      <c r="AE4" s="703">
        <f>V3</f>
        <v>2021</v>
      </c>
      <c r="AF4" s="704">
        <f>V4</f>
        <v>0</v>
      </c>
      <c r="AG4" s="704">
        <f>V5</f>
        <v>0</v>
      </c>
      <c r="AH4" s="704">
        <f>V6</f>
        <v>0</v>
      </c>
      <c r="AI4" s="704">
        <f>V8</f>
        <v>0</v>
      </c>
      <c r="AJ4" s="704">
        <f>V9</f>
        <v>0</v>
      </c>
      <c r="AK4" s="704">
        <f>SUM(AF4:AJ4)</f>
        <v>0</v>
      </c>
    </row>
    <row r="5" spans="1:37" s="717" customFormat="1" ht="12.75" customHeight="1" thickBot="1">
      <c r="A5" s="705" t="s">
        <v>810</v>
      </c>
      <c r="B5" s="706">
        <v>1</v>
      </c>
      <c r="C5" s="707">
        <v>2</v>
      </c>
      <c r="D5" s="708">
        <v>3</v>
      </c>
      <c r="E5" s="709">
        <v>4</v>
      </c>
      <c r="F5" s="709">
        <v>5</v>
      </c>
      <c r="G5" s="710" t="s">
        <v>32</v>
      </c>
      <c r="H5" s="711"/>
      <c r="I5" s="4420"/>
      <c r="J5" s="4421"/>
      <c r="K5" s="712"/>
      <c r="L5" s="712"/>
      <c r="M5" s="664"/>
      <c r="N5" s="664"/>
      <c r="O5" s="713"/>
      <c r="P5" s="713"/>
      <c r="Q5" s="713"/>
      <c r="R5" s="713"/>
      <c r="S5" s="713"/>
      <c r="T5" s="713"/>
      <c r="U5" s="698" t="s">
        <v>812</v>
      </c>
      <c r="V5" s="714"/>
      <c r="W5" s="714"/>
      <c r="X5" s="715" t="e">
        <f>Belegung!H6</f>
        <v>#VALUE!</v>
      </c>
      <c r="Y5" s="715" t="e">
        <f>Belegung!H19</f>
        <v>#VALUE!</v>
      </c>
      <c r="Z5" s="716" t="e">
        <f>Belegung!H32</f>
        <v>#VALUE!</v>
      </c>
      <c r="AA5" s="716" t="e">
        <f>AVERAGE(V5:Y5)</f>
        <v>#VALUE!</v>
      </c>
      <c r="AB5" s="716" t="e">
        <f>AVERAGE(W5:Y5)</f>
        <v>#VALUE!</v>
      </c>
      <c r="AE5" s="718">
        <f>W3</f>
        <v>2022</v>
      </c>
      <c r="AF5" s="704">
        <f>W4</f>
        <v>0</v>
      </c>
      <c r="AG5" s="704">
        <f>W5</f>
        <v>0</v>
      </c>
      <c r="AH5" s="704">
        <f>W6</f>
        <v>0</v>
      </c>
      <c r="AI5" s="704">
        <f>W8</f>
        <v>0</v>
      </c>
      <c r="AJ5" s="704">
        <f>W9</f>
        <v>0</v>
      </c>
      <c r="AK5" s="704">
        <f t="shared" ref="AK5:AK11" si="0">SUM(AF5:AJ5)</f>
        <v>0</v>
      </c>
    </row>
    <row r="6" spans="1:37" s="717" customFormat="1" ht="12.75" customHeight="1">
      <c r="A6" s="719" t="s">
        <v>82</v>
      </c>
      <c r="B6" s="720" t="e">
        <f>IF(ISBLANK(B7),B12/365,$H$6*B7/$G$7)</f>
        <v>#VALUE!</v>
      </c>
      <c r="C6" s="721" t="e">
        <f>IF(ISBLANK(C7),C12/365,$H$6*C7/$G$7)</f>
        <v>#VALUE!</v>
      </c>
      <c r="D6" s="721" t="e">
        <f t="shared" ref="D6:F6" si="1">IF(ISBLANK(D7),D12/365,$H$6*D7/$G$7)</f>
        <v>#VALUE!</v>
      </c>
      <c r="E6" s="721" t="e">
        <f t="shared" si="1"/>
        <v>#VALUE!</v>
      </c>
      <c r="F6" s="721" t="e">
        <f t="shared" si="1"/>
        <v>#VALUE!</v>
      </c>
      <c r="G6" s="722" t="e">
        <f>SUM(B6:F6)</f>
        <v>#VALUE!</v>
      </c>
      <c r="H6" s="723"/>
      <c r="I6" s="724"/>
      <c r="J6" s="725"/>
      <c r="K6" s="712"/>
      <c r="L6" s="712"/>
      <c r="M6" s="726"/>
      <c r="N6" s="664"/>
      <c r="O6" s="713"/>
      <c r="P6" s="713"/>
      <c r="Q6" s="713"/>
      <c r="R6" s="713"/>
      <c r="S6" s="713"/>
      <c r="T6" s="713"/>
      <c r="U6" s="698" t="s">
        <v>813</v>
      </c>
      <c r="V6" s="714"/>
      <c r="W6" s="714"/>
      <c r="X6" s="715" t="e">
        <f>Belegung!H7</f>
        <v>#VALUE!</v>
      </c>
      <c r="Y6" s="715" t="e">
        <f>Belegung!H20</f>
        <v>#VALUE!</v>
      </c>
      <c r="Z6" s="716" t="e">
        <f>Belegung!H33</f>
        <v>#VALUE!</v>
      </c>
      <c r="AA6" s="716" t="e">
        <f>AVERAGE(V6:Y6)</f>
        <v>#VALUE!</v>
      </c>
      <c r="AB6" s="716" t="e">
        <f>AVERAGE(W6:Y6)</f>
        <v>#VALUE!</v>
      </c>
      <c r="AE6" s="718">
        <f>X3</f>
        <v>2023</v>
      </c>
      <c r="AF6" s="704" t="e">
        <f>X4</f>
        <v>#VALUE!</v>
      </c>
      <c r="AG6" s="704" t="e">
        <f>X5</f>
        <v>#VALUE!</v>
      </c>
      <c r="AH6" s="704" t="e">
        <f>X6</f>
        <v>#VALUE!</v>
      </c>
      <c r="AI6" s="704" t="e">
        <f>X8</f>
        <v>#VALUE!</v>
      </c>
      <c r="AJ6" s="704" t="e">
        <f>X9</f>
        <v>#VALUE!</v>
      </c>
      <c r="AK6" s="704" t="e">
        <f t="shared" si="0"/>
        <v>#VALUE!</v>
      </c>
    </row>
    <row r="7" spans="1:37" s="717" customFormat="1" ht="12.75" hidden="1" customHeight="1">
      <c r="A7" s="727" t="s">
        <v>82</v>
      </c>
      <c r="B7" s="728"/>
      <c r="C7" s="728"/>
      <c r="D7" s="728"/>
      <c r="E7" s="728"/>
      <c r="F7" s="728"/>
      <c r="G7" s="729">
        <f>SUM(B7:F7)</f>
        <v>0</v>
      </c>
      <c r="H7" s="713"/>
      <c r="I7" s="730"/>
      <c r="J7" s="731"/>
      <c r="K7" s="712"/>
      <c r="L7" s="712"/>
      <c r="M7" s="664"/>
      <c r="N7" s="664"/>
      <c r="O7" s="713"/>
      <c r="P7" s="713"/>
      <c r="Q7" s="713"/>
      <c r="R7" s="713"/>
      <c r="S7" s="713"/>
      <c r="T7" s="713"/>
      <c r="U7" s="698"/>
      <c r="V7" s="714"/>
      <c r="W7" s="714"/>
      <c r="X7" s="715">
        <v>0</v>
      </c>
      <c r="Y7" s="715">
        <v>0</v>
      </c>
      <c r="Z7" s="716">
        <v>0</v>
      </c>
      <c r="AA7" s="716">
        <v>0</v>
      </c>
      <c r="AB7" s="716">
        <v>0</v>
      </c>
      <c r="AE7" s="703"/>
      <c r="AF7" s="704"/>
      <c r="AG7" s="704"/>
      <c r="AH7" s="704"/>
      <c r="AI7" s="704"/>
      <c r="AJ7" s="704"/>
      <c r="AK7" s="704"/>
    </row>
    <row r="8" spans="1:37" s="717" customFormat="1" ht="12.75" customHeight="1">
      <c r="A8" s="727" t="s">
        <v>83</v>
      </c>
      <c r="B8" s="732" t="e">
        <f>IF(ISBLANK(B7),IF(Belegung!$H$31="",0,Belegung!$H$31),B7/$G$7)</f>
        <v>#VALUE!</v>
      </c>
      <c r="C8" s="732" t="e">
        <f>IF(ISBLANK(C7),IF(Belegung!$H$32="",0,Belegung!$H$32),C7/$G$7)</f>
        <v>#VALUE!</v>
      </c>
      <c r="D8" s="732" t="e">
        <f>IF(ISBLANK(D7),IF(Belegung!$H$33="",0,Belegung!$H$33),D7/$G$7)</f>
        <v>#VALUE!</v>
      </c>
      <c r="E8" s="732" t="e">
        <f>IF(ISBLANK(E7),IF(Belegung!$H$34="",0,Belegung!$H$34),E7/$G$7)</f>
        <v>#VALUE!</v>
      </c>
      <c r="F8" s="732" t="e">
        <f>IF(ISBLANK(F7),IF(Belegung!$H$35="",0,Belegung!$H$35),F7/$G$7)</f>
        <v>#VALUE!</v>
      </c>
      <c r="G8" s="733" t="e">
        <f>SUM(B8:F8)</f>
        <v>#VALUE!</v>
      </c>
      <c r="H8" s="713"/>
      <c r="I8" s="724"/>
      <c r="J8" s="734"/>
      <c r="K8" s="712"/>
      <c r="L8" s="712"/>
      <c r="M8" s="664"/>
      <c r="N8" s="664"/>
      <c r="O8" s="713"/>
      <c r="P8" s="713"/>
      <c r="Q8" s="713"/>
      <c r="R8" s="713"/>
      <c r="S8" s="713"/>
      <c r="T8" s="713"/>
      <c r="U8" s="698" t="s">
        <v>814</v>
      </c>
      <c r="V8" s="714"/>
      <c r="W8" s="714"/>
      <c r="X8" s="715" t="e">
        <f>Belegung!H8</f>
        <v>#VALUE!</v>
      </c>
      <c r="Y8" s="715" t="e">
        <f>Belegung!H21</f>
        <v>#VALUE!</v>
      </c>
      <c r="Z8" s="716" t="e">
        <f>Belegung!H34</f>
        <v>#VALUE!</v>
      </c>
      <c r="AA8" s="716" t="e">
        <f>AVERAGE(V8:Y8)</f>
        <v>#VALUE!</v>
      </c>
      <c r="AB8" s="716" t="e">
        <f>AVERAGE(W8:Y8)</f>
        <v>#VALUE!</v>
      </c>
      <c r="AE8" s="718">
        <f>Y3</f>
        <v>2024</v>
      </c>
      <c r="AF8" s="704" t="e">
        <f>Y4</f>
        <v>#VALUE!</v>
      </c>
      <c r="AG8" s="704" t="e">
        <f>Y5</f>
        <v>#VALUE!</v>
      </c>
      <c r="AH8" s="704" t="e">
        <f>Y6</f>
        <v>#VALUE!</v>
      </c>
      <c r="AI8" s="704" t="e">
        <f>Y8</f>
        <v>#VALUE!</v>
      </c>
      <c r="AJ8" s="704" t="e">
        <f>Y9</f>
        <v>#VALUE!</v>
      </c>
      <c r="AK8" s="704" t="e">
        <f t="shared" si="0"/>
        <v>#VALUE!</v>
      </c>
    </row>
    <row r="9" spans="1:37" s="717" customFormat="1" ht="12.75" customHeight="1" thickBot="1">
      <c r="A9" s="727" t="s">
        <v>94</v>
      </c>
      <c r="B9" s="2910"/>
      <c r="C9" s="2910"/>
      <c r="D9" s="2910"/>
      <c r="E9" s="2910"/>
      <c r="F9" s="2910"/>
      <c r="G9" s="733">
        <f>SUM(B9:F9)</f>
        <v>0</v>
      </c>
      <c r="H9" s="724"/>
      <c r="I9" s="730"/>
      <c r="J9" s="731"/>
      <c r="K9" s="712"/>
      <c r="L9" s="712"/>
      <c r="M9" s="664"/>
      <c r="N9" s="664"/>
      <c r="O9" s="713"/>
      <c r="P9" s="713"/>
      <c r="Q9" s="713"/>
      <c r="R9" s="713"/>
      <c r="S9" s="713"/>
      <c r="T9" s="713"/>
      <c r="U9" s="698" t="s">
        <v>815</v>
      </c>
      <c r="V9" s="735"/>
      <c r="W9" s="735"/>
      <c r="X9" s="736" t="e">
        <f>Belegung!H9</f>
        <v>#VALUE!</v>
      </c>
      <c r="Y9" s="736" t="e">
        <f>Belegung!H22</f>
        <v>#VALUE!</v>
      </c>
      <c r="Z9" s="737" t="e">
        <f>Belegung!H35</f>
        <v>#VALUE!</v>
      </c>
      <c r="AA9" s="737" t="e">
        <f>AVERAGE(V9:Y9)</f>
        <v>#VALUE!</v>
      </c>
      <c r="AB9" s="737" t="e">
        <f>AVERAGE(W9:Y9)</f>
        <v>#VALUE!</v>
      </c>
      <c r="AE9" s="703" t="str">
        <f>Z3</f>
        <v>Kalkulation</v>
      </c>
      <c r="AF9" s="704" t="e">
        <f>Z4</f>
        <v>#VALUE!</v>
      </c>
      <c r="AG9" s="704" t="e">
        <f>Z5</f>
        <v>#VALUE!</v>
      </c>
      <c r="AH9" s="704" t="e">
        <f>Z6</f>
        <v>#VALUE!</v>
      </c>
      <c r="AI9" s="704" t="e">
        <f>Z8</f>
        <v>#VALUE!</v>
      </c>
      <c r="AJ9" s="704" t="e">
        <f>Z9</f>
        <v>#VALUE!</v>
      </c>
      <c r="AK9" s="704" t="e">
        <f t="shared" si="0"/>
        <v>#VALUE!</v>
      </c>
    </row>
    <row r="10" spans="1:37" s="717" customFormat="1" ht="12.75" customHeight="1" thickBot="1">
      <c r="A10" s="727" t="s">
        <v>1500</v>
      </c>
      <c r="B10" s="738" t="e">
        <f>Platzzahl*365*$E$14*IF(ISBLANK(B9),IF(ISBLANK(B7),B8,B7/$G$7),B9)-B11</f>
        <v>#VALUE!</v>
      </c>
      <c r="C10" s="739" t="e">
        <f>Platzzahl*365*$E$14*IF(ISBLANK(C9),IF(ISBLANK(C7),C8,C7/$G$7),C9)-C11</f>
        <v>#VALUE!</v>
      </c>
      <c r="D10" s="739" t="e">
        <f>Platzzahl*365*$E$14*IF(ISBLANK(D9),IF(ISBLANK(D7),D8,D7/$G$7),D9)-D11</f>
        <v>#VALUE!</v>
      </c>
      <c r="E10" s="739" t="e">
        <f>Platzzahl*365*$E$14*IF(ISBLANK(E9),IF(ISBLANK(E7),E8,E7/$G$7),E9)-E11</f>
        <v>#VALUE!</v>
      </c>
      <c r="F10" s="739" t="e">
        <f>Platzzahl*365*$E$14*IF(ISBLANK(F9),IF(ISBLANK(F7),F8,F7/$G$7),F9)-F11</f>
        <v>#VALUE!</v>
      </c>
      <c r="G10" s="740" t="e">
        <f>Platzzahl*365*E14*(1-F14)</f>
        <v>#VALUE!</v>
      </c>
      <c r="H10" s="741"/>
      <c r="I10" s="742"/>
      <c r="J10" s="725"/>
      <c r="K10" s="712"/>
      <c r="L10" s="743"/>
      <c r="M10" s="664"/>
      <c r="N10" s="664"/>
      <c r="O10" s="713"/>
      <c r="P10" s="713"/>
      <c r="Q10" s="713"/>
      <c r="R10" s="713"/>
      <c r="S10" s="713"/>
      <c r="T10" s="713"/>
      <c r="V10" s="744">
        <f t="shared" ref="V10:AB10" si="2">SUM(V4:V9)</f>
        <v>0</v>
      </c>
      <c r="W10" s="744">
        <f t="shared" si="2"/>
        <v>0</v>
      </c>
      <c r="X10" s="744" t="e">
        <f t="shared" si="2"/>
        <v>#VALUE!</v>
      </c>
      <c r="Y10" s="744" t="e">
        <f t="shared" si="2"/>
        <v>#VALUE!</v>
      </c>
      <c r="Z10" s="745" t="e">
        <f t="shared" si="2"/>
        <v>#VALUE!</v>
      </c>
      <c r="AA10" s="745" t="e">
        <f t="shared" si="2"/>
        <v>#VALUE!</v>
      </c>
      <c r="AB10" s="745" t="e">
        <f t="shared" si="2"/>
        <v>#VALUE!</v>
      </c>
      <c r="AE10" s="703" t="str">
        <f>AA3</f>
        <v>MW 21 - 24</v>
      </c>
      <c r="AF10" s="704" t="e">
        <f>AA4</f>
        <v>#VALUE!</v>
      </c>
      <c r="AG10" s="704" t="e">
        <f>AA5</f>
        <v>#VALUE!</v>
      </c>
      <c r="AH10" s="704" t="e">
        <f>AA6</f>
        <v>#VALUE!</v>
      </c>
      <c r="AI10" s="704" t="e">
        <f>AA8</f>
        <v>#VALUE!</v>
      </c>
      <c r="AJ10" s="704" t="e">
        <f>AA9</f>
        <v>#VALUE!</v>
      </c>
      <c r="AK10" s="704" t="e">
        <f t="shared" si="0"/>
        <v>#VALUE!</v>
      </c>
    </row>
    <row r="11" spans="1:37" s="717" customFormat="1" ht="12.75" customHeight="1">
      <c r="A11" s="746" t="s">
        <v>1501</v>
      </c>
      <c r="B11" s="738">
        <f>IF(Belegung!$E$31=0,0,IF(ISBLANK(B7),IF(ISBLANK(B9),$G$11*Belegung!$E$31/Belegung!$E$37,$G$11*B9),$G$11*B7/$G$7))</f>
        <v>0</v>
      </c>
      <c r="C11" s="747">
        <f>IF(Belegung!$E$32=0,0,IF(ISBLANK(C7),IF(ISBLANK(C9),$G$11*Belegung!$E$32/Belegung!$E$37,$G$11*C9),$G$11*C7/$G$7))</f>
        <v>0</v>
      </c>
      <c r="D11" s="747">
        <f>IF(Belegung!$E$33=0,0,IF(ISBLANK(D7),IF(ISBLANK(D9),$G$11*Belegung!$E$33/Belegung!$E$37,$G$11*D9),$G$11*D7/$G$7))</f>
        <v>0</v>
      </c>
      <c r="E11" s="747">
        <f>IF(Belegung!$E$34=0,0,IF(ISBLANK(E7),IF(ISBLANK(E9),$G$11*Belegung!$E$34/Belegung!$E$37,$G$11*E9),$G$11*E7/$G$7))</f>
        <v>0</v>
      </c>
      <c r="F11" s="747">
        <f>IF(Belegung!$E$35=0,0,IF(ISBLANK(F7),IF(ISBLANK(F9),$G$11*Belegung!$E$35/Belegung!$E$37,$G$11*F9),$G$11*F7/$G$7))</f>
        <v>0</v>
      </c>
      <c r="G11" s="748" t="e">
        <f>Platzzahl*365*Auslastung-G10</f>
        <v>#VALUE!</v>
      </c>
      <c r="H11" s="749" t="s">
        <v>1064</v>
      </c>
      <c r="I11" s="750" t="s">
        <v>1259</v>
      </c>
      <c r="J11" s="751"/>
      <c r="K11" s="712"/>
      <c r="L11" s="752"/>
      <c r="M11" s="664"/>
      <c r="N11" s="664"/>
      <c r="O11" s="713"/>
      <c r="P11" s="713"/>
      <c r="Q11" s="713"/>
      <c r="R11" s="713"/>
      <c r="S11" s="713"/>
      <c r="T11" s="713"/>
      <c r="U11" s="753" t="s">
        <v>1443</v>
      </c>
      <c r="V11" s="3237" t="e">
        <f>((V13*0.78)+(V14*1)+(V15*1.64)+(V16*2.31)+(V17*2.6))/V19*100</f>
        <v>#DIV/0!</v>
      </c>
      <c r="W11" s="3237" t="e">
        <f>((W13*0.78)+(W14*1)+(W15*1.64)+(W16*2.31)+(W17*2.6))/W19*100</f>
        <v>#DIV/0!</v>
      </c>
      <c r="X11" s="3237" t="e">
        <f>Belegung!P2</f>
        <v>#VALUE!</v>
      </c>
      <c r="Y11" s="3237" t="e">
        <f>Belegung!P16</f>
        <v>#VALUE!</v>
      </c>
      <c r="Z11" s="3237" t="e">
        <f>Belegung!AA29</f>
        <v>#VALUE!</v>
      </c>
      <c r="AA11" s="3237" t="e">
        <f>((Berechnungstage*AA4*0.78)+(Berechnungstage*AA5*1)+(Berechnungstage*AA6*1.64)+(Berechnungstage*AA8*2.31)+(Berechnungstage*AA9*2.6))/Berechnungstage*100</f>
        <v>#VALUE!</v>
      </c>
      <c r="AB11" s="3237" t="e">
        <f>((Berechnungstage*AB4*0.78)+(Berechnungstage*AB5*1)+(Berechnungstage*AB6*1.64)+(Berechnungstage*AB8*2.31)+(Berechnungstage*AB9*2.6))/Berechnungstage*100</f>
        <v>#VALUE!</v>
      </c>
      <c r="AE11" s="703" t="str">
        <f>AB3</f>
        <v>MW 22 - 24</v>
      </c>
      <c r="AF11" s="704" t="e">
        <f>AB4</f>
        <v>#VALUE!</v>
      </c>
      <c r="AG11" s="704" t="e">
        <f>AB5</f>
        <v>#VALUE!</v>
      </c>
      <c r="AH11" s="704" t="e">
        <f>AB6</f>
        <v>#VALUE!</v>
      </c>
      <c r="AI11" s="704" t="e">
        <f>AB8</f>
        <v>#VALUE!</v>
      </c>
      <c r="AJ11" s="704" t="e">
        <f>AB9</f>
        <v>#VALUE!</v>
      </c>
      <c r="AK11" s="704" t="e">
        <f t="shared" si="0"/>
        <v>#VALUE!</v>
      </c>
    </row>
    <row r="12" spans="1:37" s="717" customFormat="1" ht="12.75" customHeight="1" thickBot="1">
      <c r="A12" s="754" t="s">
        <v>1502</v>
      </c>
      <c r="B12" s="755" t="e">
        <f>B10+(B11*G14)</f>
        <v>#VALUE!</v>
      </c>
      <c r="C12" s="756" t="e">
        <f>C10+(C11*G14)</f>
        <v>#VALUE!</v>
      </c>
      <c r="D12" s="756" t="e">
        <f>D10+(D11*G14)</f>
        <v>#VALUE!</v>
      </c>
      <c r="E12" s="757" t="e">
        <f>E10+(E11*G14)</f>
        <v>#VALUE!</v>
      </c>
      <c r="F12" s="756" t="e">
        <f>F10+(F11*G14)</f>
        <v>#VALUE!</v>
      </c>
      <c r="G12" s="758" t="e">
        <f>SUM(B12:F12)</f>
        <v>#VALUE!</v>
      </c>
      <c r="H12" s="759" t="e">
        <f>((B12*0.78)+(C12*1)+(D12*1.64)+(E12*2.31)+(F12*2.6))/Berechnungstage*100</f>
        <v>#VALUE!</v>
      </c>
      <c r="I12" s="760" t="e">
        <f>Budgetveränderungswert!K17</f>
        <v>#DIV/0!</v>
      </c>
      <c r="J12" s="751"/>
      <c r="K12" s="4423" t="s">
        <v>1836</v>
      </c>
      <c r="L12" s="4423"/>
      <c r="M12" s="664"/>
      <c r="N12" s="664"/>
      <c r="O12" s="713"/>
      <c r="P12" s="713"/>
      <c r="Q12" s="713"/>
      <c r="R12" s="713"/>
      <c r="S12" s="713"/>
      <c r="T12" s="713"/>
      <c r="U12" s="713"/>
      <c r="V12" s="713"/>
      <c r="W12" s="713"/>
      <c r="X12" s="713"/>
      <c r="Y12" s="713"/>
      <c r="Z12" s="713"/>
    </row>
    <row r="13" spans="1:37" s="717" customFormat="1" ht="12.75" customHeight="1">
      <c r="A13" s="761"/>
      <c r="B13" s="762"/>
      <c r="C13" s="763"/>
      <c r="D13" s="764" t="s">
        <v>241</v>
      </c>
      <c r="E13" s="765" t="s">
        <v>98</v>
      </c>
      <c r="F13" s="764" t="s">
        <v>95</v>
      </c>
      <c r="G13" s="766" t="s">
        <v>96</v>
      </c>
      <c r="H13" s="767" t="s">
        <v>242</v>
      </c>
      <c r="I13" s="768"/>
      <c r="J13" s="769"/>
      <c r="K13" s="4424" t="s">
        <v>1837</v>
      </c>
      <c r="L13" s="4424"/>
      <c r="M13" s="664"/>
      <c r="N13" s="664"/>
      <c r="O13" s="713"/>
      <c r="P13" s="713"/>
      <c r="Q13" s="713"/>
      <c r="R13" s="713"/>
      <c r="S13" s="713"/>
      <c r="T13" s="713"/>
      <c r="U13" s="713" t="s">
        <v>811</v>
      </c>
      <c r="V13" s="770"/>
      <c r="W13" s="770"/>
      <c r="X13" s="713"/>
      <c r="Y13" s="713"/>
      <c r="Z13" s="713"/>
    </row>
    <row r="14" spans="1:37" s="717" customFormat="1" ht="12.75" customHeight="1" thickBot="1">
      <c r="A14" s="3386" t="s">
        <v>2085</v>
      </c>
      <c r="B14" s="4008" t="e">
        <f>'Personalmenge 113c'!G83</f>
        <v>#VALUE!</v>
      </c>
      <c r="C14" s="763"/>
      <c r="D14" s="771" t="str">
        <f>Platzzahl</f>
        <v/>
      </c>
      <c r="E14" s="772">
        <f>IF('Copy &amp; Paste'!$B$10="",IF('Copy &amp; Paste'!$B$11="",0.98,0.9),0.98)</f>
        <v>0.98</v>
      </c>
      <c r="F14" s="773">
        <f>IF(Belegung!I38&lt;0.025,Belegung!I38,0.025)</f>
        <v>2.5000000000000001E-2</v>
      </c>
      <c r="G14" s="774">
        <v>0.75</v>
      </c>
      <c r="H14" s="775" t="e">
        <f>IF(Platzzahl=0,"",G6/Platzzahl)</f>
        <v>#VALUE!</v>
      </c>
      <c r="I14" s="776"/>
      <c r="J14" s="777"/>
      <c r="K14" s="3034"/>
      <c r="L14" s="3034"/>
      <c r="M14" s="664"/>
      <c r="N14" s="664"/>
      <c r="O14" s="713"/>
      <c r="P14" s="713"/>
      <c r="Q14" s="713"/>
      <c r="R14" s="713"/>
      <c r="S14" s="713"/>
      <c r="T14" s="713"/>
      <c r="U14" s="713" t="s">
        <v>812</v>
      </c>
      <c r="V14" s="770"/>
      <c r="W14" s="770"/>
      <c r="X14" s="713"/>
      <c r="Y14" s="713"/>
      <c r="Z14" s="713"/>
    </row>
    <row r="15" spans="1:37" s="717" customFormat="1" ht="12.75" customHeight="1" thickBot="1">
      <c r="A15" s="4386" t="e">
        <f>IF(B25&gt;=B14,"","Achtung: Personalmenge Pflege/Betreuung &gt; Richtwert § 113c SGB XI")</f>
        <v>#DIV/0!</v>
      </c>
      <c r="B15" s="4386"/>
      <c r="C15" s="4387"/>
      <c r="D15" s="778" t="e">
        <f>C20+C29</f>
        <v>#VALUE!</v>
      </c>
      <c r="E15" s="779"/>
      <c r="F15" s="779"/>
      <c r="G15" s="779"/>
      <c r="H15" s="780"/>
      <c r="I15" s="781"/>
      <c r="J15" s="782"/>
      <c r="K15" s="3035"/>
      <c r="L15" s="3036"/>
      <c r="M15" s="664"/>
      <c r="N15" s="664"/>
      <c r="O15" s="713"/>
      <c r="P15" s="713"/>
      <c r="Q15" s="713"/>
      <c r="R15" s="713"/>
      <c r="S15" s="713"/>
      <c r="T15" s="713"/>
      <c r="U15" s="713" t="s">
        <v>813</v>
      </c>
      <c r="V15" s="770"/>
      <c r="W15" s="770"/>
      <c r="X15" s="713"/>
      <c r="Y15" s="713"/>
      <c r="Z15" s="713"/>
    </row>
    <row r="16" spans="1:37" s="717" customFormat="1" ht="12.95" customHeight="1" thickBot="1">
      <c r="A16" s="784"/>
      <c r="B16" s="785"/>
      <c r="C16" s="786"/>
      <c r="D16" s="4436" t="s">
        <v>80</v>
      </c>
      <c r="E16" s="4439" t="s">
        <v>84</v>
      </c>
      <c r="F16" s="4441" t="s">
        <v>1503</v>
      </c>
      <c r="G16" s="4443" t="s">
        <v>244</v>
      </c>
      <c r="H16" s="4434" t="s">
        <v>245</v>
      </c>
      <c r="I16" s="787" t="s">
        <v>97</v>
      </c>
      <c r="J16" s="788" t="s">
        <v>243</v>
      </c>
      <c r="K16" s="4425" t="s">
        <v>1838</v>
      </c>
      <c r="L16" s="4425"/>
      <c r="M16" s="4390" t="s">
        <v>222</v>
      </c>
      <c r="N16" s="4392" t="s">
        <v>1559</v>
      </c>
      <c r="O16" s="4393"/>
      <c r="P16" s="4394"/>
      <c r="Q16" s="4426" t="s">
        <v>973</v>
      </c>
      <c r="R16" s="4427"/>
      <c r="S16" s="713"/>
      <c r="T16" s="713"/>
      <c r="U16" s="713" t="s">
        <v>814</v>
      </c>
      <c r="V16" s="770"/>
      <c r="W16" s="770"/>
      <c r="X16" s="713"/>
      <c r="Y16" s="713"/>
      <c r="Z16" s="713"/>
    </row>
    <row r="17" spans="1:26" s="717" customFormat="1" ht="26.25" thickBot="1">
      <c r="A17" s="789" t="s">
        <v>85</v>
      </c>
      <c r="B17" s="790"/>
      <c r="C17" s="4432" t="s">
        <v>916</v>
      </c>
      <c r="D17" s="4437"/>
      <c r="E17" s="4440"/>
      <c r="F17" s="4442"/>
      <c r="G17" s="4444"/>
      <c r="H17" s="4435"/>
      <c r="I17" s="791" t="s">
        <v>246</v>
      </c>
      <c r="J17" s="792" t="s">
        <v>246</v>
      </c>
      <c r="K17" s="3037"/>
      <c r="L17" s="3037"/>
      <c r="M17" s="4391"/>
      <c r="N17" s="4395"/>
      <c r="O17" s="4396"/>
      <c r="P17" s="4397"/>
      <c r="Q17" s="4428"/>
      <c r="R17" s="4429"/>
      <c r="S17" s="713"/>
      <c r="T17" s="713"/>
      <c r="U17" s="713" t="s">
        <v>1444</v>
      </c>
      <c r="V17" s="770"/>
      <c r="W17" s="770"/>
      <c r="X17" s="713"/>
      <c r="Y17" s="713"/>
      <c r="Z17" s="713"/>
    </row>
    <row r="18" spans="1:26" s="717" customFormat="1" ht="12.95" customHeight="1" thickBot="1">
      <c r="A18" s="793"/>
      <c r="B18" s="794" t="s">
        <v>972</v>
      </c>
      <c r="C18" s="4433"/>
      <c r="D18" s="4438"/>
      <c r="E18" s="795" t="s">
        <v>247</v>
      </c>
      <c r="F18" s="796"/>
      <c r="G18" s="797"/>
      <c r="H18" s="796"/>
      <c r="I18" s="798"/>
      <c r="J18" s="797"/>
      <c r="K18" s="3038" t="s">
        <v>1148</v>
      </c>
      <c r="L18" s="3038" t="s">
        <v>1839</v>
      </c>
      <c r="M18" s="2653"/>
      <c r="N18" s="799"/>
      <c r="O18" s="800"/>
      <c r="P18" s="801"/>
      <c r="Q18" s="802"/>
      <c r="R18" s="2659"/>
      <c r="S18" s="713"/>
      <c r="T18" s="713"/>
      <c r="U18" s="713" t="s">
        <v>734</v>
      </c>
      <c r="V18" s="770"/>
      <c r="W18" s="770"/>
      <c r="X18" s="713"/>
      <c r="Y18" s="713"/>
      <c r="Z18" s="713"/>
    </row>
    <row r="19" spans="1:26" s="717" customFormat="1" ht="12.75" customHeight="1">
      <c r="A19" s="803" t="s">
        <v>86</v>
      </c>
      <c r="B19" s="804">
        <f>E19</f>
        <v>0</v>
      </c>
      <c r="C19" s="805" t="e">
        <f>IF(Platzzahl&lt;=50,0.5,1)+IF(Platzzahl&gt;150,IF(Platzzahl&gt;250,2+(Platzzahl-250)/150,(Platzzahl-150)/50),0)</f>
        <v>#VALUE!</v>
      </c>
      <c r="D19" s="806" t="str">
        <f>Personalkosten!G4</f>
        <v/>
      </c>
      <c r="E19" s="807">
        <f>IF(Personalkosten!G4="",0,Personalkosten!G4)</f>
        <v>0</v>
      </c>
      <c r="F19" s="808">
        <f>IF(Personalkosten!G8="",0,Personalkosten!G8)</f>
        <v>0</v>
      </c>
      <c r="G19" s="809">
        <f>IF(F19="","",E19*F19)</f>
        <v>0</v>
      </c>
      <c r="H19" s="806" t="e">
        <f t="shared" ref="H19:H28" si="3">IF(Berechnungstage=0,0,G19/Berechnungstage)</f>
        <v>#VALUE!</v>
      </c>
      <c r="I19" s="810">
        <f>G19/2</f>
        <v>0</v>
      </c>
      <c r="J19" s="809">
        <f>G19-I19</f>
        <v>0</v>
      </c>
      <c r="K19" s="3240" t="s">
        <v>1838</v>
      </c>
      <c r="L19" s="3038"/>
      <c r="M19" s="2650" t="str">
        <f t="shared" ref="M19:M27" si="4">IF(P19&gt;0,Q19-F19," ")</f>
        <v xml:space="preserve"> </v>
      </c>
      <c r="N19" s="811"/>
      <c r="O19" s="812" t="s">
        <v>340</v>
      </c>
      <c r="P19" s="813"/>
      <c r="Q19" s="814" t="str">
        <f t="shared" ref="Q19:Q27" si="5">IF(ISNUMBER(P19),P19*(1+R19),"")</f>
        <v/>
      </c>
      <c r="R19" s="815">
        <f>$R$18</f>
        <v>0</v>
      </c>
      <c r="S19" s="713"/>
      <c r="T19" s="713"/>
      <c r="U19" s="713" t="s">
        <v>32</v>
      </c>
      <c r="V19" s="770">
        <f>SUM(V13:V18)</f>
        <v>0</v>
      </c>
      <c r="W19" s="770">
        <f>SUM(W13:W18)</f>
        <v>0</v>
      </c>
      <c r="X19" s="713"/>
      <c r="Y19" s="713"/>
      <c r="Z19" s="713"/>
    </row>
    <row r="20" spans="1:26" s="717" customFormat="1" ht="12.75" customHeight="1">
      <c r="A20" s="816" t="s">
        <v>87</v>
      </c>
      <c r="B20" s="817">
        <f>E20+B47</f>
        <v>0</v>
      </c>
      <c r="C20" s="818" t="e">
        <f>Platzzahl/40</f>
        <v>#VALUE!</v>
      </c>
      <c r="D20" s="819" t="str">
        <f>Personalkosten!G5</f>
        <v/>
      </c>
      <c r="E20" s="820">
        <f>IF(Personalkosten!G5="",0,Personalkosten!G5)</f>
        <v>0</v>
      </c>
      <c r="F20" s="821">
        <f>F19</f>
        <v>0</v>
      </c>
      <c r="G20" s="822">
        <f>IF(F20="","",E20*F20)</f>
        <v>0</v>
      </c>
      <c r="H20" s="823" t="e">
        <f t="shared" si="3"/>
        <v>#VALUE!</v>
      </c>
      <c r="I20" s="824">
        <f>G20/2</f>
        <v>0</v>
      </c>
      <c r="J20" s="822">
        <f>G20-I20</f>
        <v>0</v>
      </c>
      <c r="K20" s="3039">
        <f>G20+G19</f>
        <v>0</v>
      </c>
      <c r="L20" s="3040" t="str">
        <f>Personalkosten!G7</f>
        <v/>
      </c>
      <c r="M20" s="2650" t="str">
        <f t="shared" si="4"/>
        <v xml:space="preserve"> </v>
      </c>
      <c r="N20" s="811"/>
      <c r="O20" s="812" t="s">
        <v>341</v>
      </c>
      <c r="P20" s="825"/>
      <c r="Q20" s="814" t="str">
        <f t="shared" si="5"/>
        <v/>
      </c>
      <c r="R20" s="815">
        <f t="shared" ref="R20:R30" si="6">$R$18</f>
        <v>0</v>
      </c>
      <c r="S20" s="713"/>
      <c r="T20" s="713"/>
      <c r="U20" s="713"/>
      <c r="V20" s="713"/>
      <c r="W20" s="713"/>
      <c r="X20" s="713"/>
      <c r="Y20" s="713"/>
      <c r="Z20" s="713"/>
    </row>
    <row r="21" spans="1:26" ht="12.75" customHeight="1">
      <c r="A21" s="826" t="s">
        <v>1011</v>
      </c>
      <c r="B21" s="827">
        <f>E21</f>
        <v>0</v>
      </c>
      <c r="C21" s="818" t="e">
        <f>Platzzahl/100</f>
        <v>#VALUE!</v>
      </c>
      <c r="D21" s="823" t="str">
        <f>Personalkosten!G10</f>
        <v/>
      </c>
      <c r="E21" s="820">
        <f>IF(Personalkosten!G10="",0,Personalkosten!G10)</f>
        <v>0</v>
      </c>
      <c r="F21" s="821">
        <f>IF(Personalkosten!$G$14="",0,Personalkosten!$G$14)</f>
        <v>0</v>
      </c>
      <c r="G21" s="822">
        <f>IF(F21=0,0,E21*F21)</f>
        <v>0</v>
      </c>
      <c r="H21" s="823" t="e">
        <f t="shared" si="3"/>
        <v>#VALUE!</v>
      </c>
      <c r="I21" s="824">
        <f>G21/2</f>
        <v>0</v>
      </c>
      <c r="J21" s="822">
        <f>G21-I21</f>
        <v>0</v>
      </c>
      <c r="K21" s="3240" t="str">
        <f>IF(OR(D21="",D22=""),"",IF(G21+G22&lt;=Personalkosten!G13,"","Überfinanzierung: "&amp;G21+G22-Personalkosten!G13&amp;" € !"))</f>
        <v/>
      </c>
      <c r="L21" s="3038"/>
      <c r="M21" s="2650" t="str">
        <f t="shared" si="4"/>
        <v xml:space="preserve"> </v>
      </c>
      <c r="N21" s="811"/>
      <c r="O21" s="812" t="s">
        <v>342</v>
      </c>
      <c r="P21" s="825"/>
      <c r="Q21" s="814" t="str">
        <f t="shared" si="5"/>
        <v/>
      </c>
      <c r="R21" s="815">
        <f t="shared" si="6"/>
        <v>0</v>
      </c>
      <c r="S21" s="665"/>
      <c r="T21" s="665"/>
      <c r="U21" s="665"/>
      <c r="V21" s="665"/>
      <c r="W21" s="665"/>
      <c r="X21" s="665"/>
      <c r="Y21" s="665"/>
      <c r="Z21" s="665"/>
    </row>
    <row r="22" spans="1:26" s="717" customFormat="1" ht="12.75" customHeight="1">
      <c r="A22" s="826" t="s">
        <v>48</v>
      </c>
      <c r="B22" s="828" t="str">
        <f>FIXED(E22+B42,2)</f>
        <v>0,00</v>
      </c>
      <c r="C22" s="818" t="e">
        <f>Platzzahl/100</f>
        <v>#VALUE!</v>
      </c>
      <c r="D22" s="823" t="str">
        <f>Personalkosten!G11</f>
        <v/>
      </c>
      <c r="E22" s="820">
        <f>IF(Personalkosten!G11="",0,Personalkosten!G11)</f>
        <v>0</v>
      </c>
      <c r="F22" s="821">
        <f>IF(Personalkosten!$G$14="",0,Personalkosten!$G$14)</f>
        <v>0</v>
      </c>
      <c r="G22" s="822">
        <f>IF(F22=0,0,E22*F22)</f>
        <v>0</v>
      </c>
      <c r="H22" s="823" t="e">
        <f t="shared" si="3"/>
        <v>#VALUE!</v>
      </c>
      <c r="I22" s="824">
        <f>G22/2</f>
        <v>0</v>
      </c>
      <c r="J22" s="822">
        <f>G22-I22</f>
        <v>0</v>
      </c>
      <c r="K22" s="3401"/>
      <c r="L22" s="3038" t="str">
        <f>Personalkosten!G13</f>
        <v/>
      </c>
      <c r="M22" s="2650" t="str">
        <f t="shared" si="4"/>
        <v xml:space="preserve"> </v>
      </c>
      <c r="N22" s="829"/>
      <c r="O22" s="812" t="s">
        <v>48</v>
      </c>
      <c r="P22" s="825"/>
      <c r="Q22" s="814" t="str">
        <f t="shared" si="5"/>
        <v/>
      </c>
      <c r="R22" s="815">
        <f t="shared" si="6"/>
        <v>0</v>
      </c>
      <c r="S22" s="713"/>
      <c r="T22" s="713"/>
      <c r="U22" s="713"/>
      <c r="V22" s="713"/>
      <c r="W22" s="713"/>
      <c r="X22" s="713"/>
      <c r="Y22" s="713"/>
      <c r="Z22" s="713"/>
    </row>
    <row r="23" spans="1:26" s="717" customFormat="1" ht="12.75" customHeight="1">
      <c r="A23" s="826" t="s">
        <v>2343</v>
      </c>
      <c r="B23" s="4003"/>
      <c r="C23" s="4004">
        <f>IF('Copy &amp; Paste'!H11/80&lt;0.5,0.5,IF('Copy &amp; Paste'!H11/80&gt;1,1,'Copy &amp; Paste'!H11/80))</f>
        <v>0.5</v>
      </c>
      <c r="D23" s="4401" t="str">
        <f>Personalkosten!G16</f>
        <v/>
      </c>
      <c r="E23" s="820">
        <f>IF(Personalkosten!G16="",0,Personalkosten!G16)</f>
        <v>0</v>
      </c>
      <c r="F23" s="821">
        <f>IF(Personalkosten!G17="",0,Personalkosten!G17)</f>
        <v>0</v>
      </c>
      <c r="G23" s="822">
        <f>IF(F23=0,0,E23*F23)</f>
        <v>0</v>
      </c>
      <c r="H23" s="837" t="e">
        <f t="shared" ref="H23" si="7">IF(Berechnungstage=0,0,G23/Berechnungstage)</f>
        <v>#VALUE!</v>
      </c>
      <c r="I23" s="824">
        <f t="shared" ref="I23:I28" si="8">G23</f>
        <v>0</v>
      </c>
      <c r="J23" s="3793"/>
      <c r="K23" s="3401"/>
      <c r="L23" s="3038"/>
      <c r="M23" s="2650"/>
      <c r="N23" s="829"/>
      <c r="O23" s="812"/>
      <c r="P23" s="825"/>
      <c r="Q23" s="814"/>
      <c r="R23" s="815"/>
      <c r="S23" s="713"/>
      <c r="T23" s="713"/>
      <c r="U23" s="713"/>
      <c r="V23" s="713"/>
      <c r="W23" s="713"/>
      <c r="X23" s="713"/>
      <c r="Y23" s="713"/>
      <c r="Z23" s="713"/>
    </row>
    <row r="24" spans="1:26" s="717" customFormat="1" ht="12.75" customHeight="1">
      <c r="A24" s="826" t="s">
        <v>2344</v>
      </c>
      <c r="B24" s="4003"/>
      <c r="C24" s="4004">
        <f>IF('Copy &amp; Paste'!H11/160&lt;0.25,0.25,IF('Copy &amp; Paste'!H11/160&gt;0.5,0.5,'Copy &amp; Paste'!H11/160))</f>
        <v>0.25</v>
      </c>
      <c r="D24" s="4402"/>
      <c r="E24" s="820">
        <v>0</v>
      </c>
      <c r="F24" s="821">
        <f>IF(Personalkosten!G17="",0,Personalkosten!G17)</f>
        <v>0</v>
      </c>
      <c r="G24" s="822">
        <f>IF(F24=0,0,E24*F24)</f>
        <v>0</v>
      </c>
      <c r="H24" s="837" t="e">
        <f t="shared" ref="H24" si="9">IF(Berechnungstage=0,0,G24/Berechnungstage)</f>
        <v>#VALUE!</v>
      </c>
      <c r="I24" s="824">
        <f t="shared" si="8"/>
        <v>0</v>
      </c>
      <c r="J24" s="3792"/>
      <c r="K24" s="3401"/>
      <c r="L24" s="3038"/>
      <c r="M24" s="2650"/>
      <c r="N24" s="829"/>
      <c r="O24" s="812"/>
      <c r="P24" s="825"/>
      <c r="Q24" s="814"/>
      <c r="R24" s="815"/>
      <c r="S24" s="713"/>
      <c r="T24" s="713"/>
      <c r="U24" s="713"/>
      <c r="V24" s="713"/>
      <c r="W24" s="713"/>
      <c r="X24" s="713"/>
      <c r="Y24" s="713"/>
      <c r="Z24" s="713"/>
    </row>
    <row r="25" spans="1:26" s="717" customFormat="1" ht="12.75" customHeight="1">
      <c r="A25" s="3398" t="s">
        <v>2087</v>
      </c>
      <c r="B25" s="4398" t="e">
        <f>SUM(E25:E27)+B45</f>
        <v>#DIV/0!</v>
      </c>
      <c r="C25" s="4445" t="e">
        <f>B14</f>
        <v>#VALUE!</v>
      </c>
      <c r="D25" s="4448">
        <f>SUM(Personalkosten!G18,Personalkosten!G20,Personalkosten!G22)</f>
        <v>0</v>
      </c>
      <c r="E25" s="4006">
        <f>IF(Personalkosten!G18="",0,Personalkosten!G18)</f>
        <v>0</v>
      </c>
      <c r="F25" s="4007">
        <f>IF(Personalkosten!G19="",0,Personalkosten!G19)</f>
        <v>0</v>
      </c>
      <c r="G25" s="3411">
        <f>IF(F25="","",E25*F25)</f>
        <v>0</v>
      </c>
      <c r="H25" s="823" t="e">
        <f t="shared" si="3"/>
        <v>#VALUE!</v>
      </c>
      <c r="I25" s="824">
        <f t="shared" si="8"/>
        <v>0</v>
      </c>
      <c r="J25" s="3464"/>
      <c r="K25" s="3401"/>
      <c r="L25" s="3412"/>
      <c r="M25" s="2650" t="str">
        <f t="shared" si="4"/>
        <v xml:space="preserve"> </v>
      </c>
      <c r="N25" s="4430" t="s">
        <v>796</v>
      </c>
      <c r="O25" s="4431"/>
      <c r="P25" s="825"/>
      <c r="Q25" s="814" t="str">
        <f t="shared" si="5"/>
        <v/>
      </c>
      <c r="R25" s="815">
        <f t="shared" si="6"/>
        <v>0</v>
      </c>
      <c r="S25" s="713"/>
      <c r="T25" s="713"/>
      <c r="U25" s="713"/>
      <c r="V25" s="713"/>
      <c r="W25" s="713"/>
      <c r="X25" s="713"/>
      <c r="Y25" s="713"/>
      <c r="Z25" s="713"/>
    </row>
    <row r="26" spans="1:26" s="717" customFormat="1" ht="12.75" customHeight="1">
      <c r="A26" s="826" t="s">
        <v>2089</v>
      </c>
      <c r="B26" s="4399"/>
      <c r="C26" s="4446"/>
      <c r="D26" s="4449"/>
      <c r="E26" s="4006">
        <f>IF(Personalkosten!G20="",0,Personalkosten!G20)</f>
        <v>0</v>
      </c>
      <c r="F26" s="4007">
        <f>IF(Personalkosten!G21="",0,Personalkosten!G21)</f>
        <v>0</v>
      </c>
      <c r="G26" s="3411">
        <f>IF(F26="","",E26*F26)</f>
        <v>0</v>
      </c>
      <c r="H26" s="823" t="e">
        <f t="shared" si="3"/>
        <v>#VALUE!</v>
      </c>
      <c r="I26" s="824">
        <f t="shared" si="8"/>
        <v>0</v>
      </c>
      <c r="J26" s="3465"/>
      <c r="K26" s="3413"/>
      <c r="L26" s="3413"/>
      <c r="M26" s="2650" t="str">
        <f t="shared" si="4"/>
        <v xml:space="preserve"> </v>
      </c>
      <c r="N26" s="832"/>
      <c r="O26" s="833"/>
      <c r="P26" s="825"/>
      <c r="Q26" s="814" t="str">
        <f t="shared" si="5"/>
        <v/>
      </c>
      <c r="R26" s="815">
        <f t="shared" si="6"/>
        <v>0</v>
      </c>
      <c r="S26" s="713"/>
      <c r="T26" s="713"/>
      <c r="U26" s="713"/>
      <c r="V26" s="713"/>
      <c r="W26" s="713"/>
      <c r="X26" s="713"/>
      <c r="Y26" s="713"/>
      <c r="Z26" s="713"/>
    </row>
    <row r="27" spans="1:26" s="717" customFormat="1" ht="12.75" customHeight="1">
      <c r="A27" s="834" t="s">
        <v>2088</v>
      </c>
      <c r="B27" s="4400"/>
      <c r="C27" s="4447"/>
      <c r="D27" s="4450"/>
      <c r="E27" s="4006">
        <f>IF(Personalkosten!G22="",0,Personalkosten!G22)</f>
        <v>0</v>
      </c>
      <c r="F27" s="4007">
        <f>IF(Personalkosten!G23="",0,Personalkosten!G23)</f>
        <v>0</v>
      </c>
      <c r="G27" s="3411">
        <f>IF(E26="","",E27*F27)</f>
        <v>0</v>
      </c>
      <c r="H27" s="823" t="e">
        <f t="shared" si="3"/>
        <v>#VALUE!</v>
      </c>
      <c r="I27" s="835">
        <f t="shared" si="8"/>
        <v>0</v>
      </c>
      <c r="J27" s="3464"/>
      <c r="K27" s="3038"/>
      <c r="L27" s="3413"/>
      <c r="M27" s="2651" t="str">
        <f t="shared" si="4"/>
        <v xml:space="preserve"> </v>
      </c>
      <c r="N27" s="832"/>
      <c r="O27" s="833"/>
      <c r="P27" s="825"/>
      <c r="Q27" s="814" t="str">
        <f t="shared" si="5"/>
        <v/>
      </c>
      <c r="R27" s="815">
        <f t="shared" si="6"/>
        <v>0</v>
      </c>
      <c r="S27" s="713"/>
      <c r="T27" s="713"/>
      <c r="U27" s="713"/>
      <c r="V27" s="713"/>
      <c r="W27" s="713"/>
      <c r="X27" s="713"/>
      <c r="Y27" s="713"/>
      <c r="Z27" s="713"/>
    </row>
    <row r="28" spans="1:26" ht="12.75" customHeight="1">
      <c r="A28" s="3066" t="s">
        <v>1906</v>
      </c>
      <c r="B28" s="2849">
        <f>E28</f>
        <v>0</v>
      </c>
      <c r="C28" s="836"/>
      <c r="D28" s="837" t="str">
        <f>Personalkosten!G35</f>
        <v/>
      </c>
      <c r="E28" s="820">
        <f>IF(Personalkosten!G35="",0,Personalkosten!G35)</f>
        <v>0</v>
      </c>
      <c r="F28" s="821">
        <f>IF(Personalkosten!$G$37="",0,Personalkosten!$G$37)</f>
        <v>0</v>
      </c>
      <c r="G28" s="838">
        <f>IF(F28=0,0,E28*F28)</f>
        <v>0</v>
      </c>
      <c r="H28" s="837" t="e">
        <f t="shared" si="3"/>
        <v>#VALUE!</v>
      </c>
      <c r="I28" s="839">
        <f t="shared" si="8"/>
        <v>0</v>
      </c>
      <c r="J28" s="3466"/>
      <c r="K28" s="3038"/>
      <c r="L28" s="3038"/>
      <c r="M28" s="2647"/>
      <c r="N28" s="841"/>
      <c r="O28" s="841"/>
      <c r="P28" s="841"/>
      <c r="Q28" s="842"/>
      <c r="R28" s="843"/>
      <c r="S28" s="665"/>
      <c r="T28" s="665"/>
      <c r="U28" s="665"/>
      <c r="V28" s="665"/>
      <c r="W28" s="665"/>
      <c r="X28" s="665"/>
      <c r="Y28" s="665"/>
      <c r="Z28" s="665"/>
    </row>
    <row r="29" spans="1:26" s="717" customFormat="1" ht="12.75" customHeight="1">
      <c r="A29" s="834" t="s">
        <v>248</v>
      </c>
      <c r="B29" s="844">
        <f>E29+B36+B40+B41</f>
        <v>0</v>
      </c>
      <c r="C29" s="818" t="e">
        <f>(ROUND(Platzzahl/IF(Platzzahl&lt;=50,7.3,7.7),2)+IF(Platzzahl&lt;=50,1,IF(Platzzahl&lt;=100,0.5,0)))+(ROUND(Platzzahl/38.5,2))</f>
        <v>#VALUE!</v>
      </c>
      <c r="D29" s="823">
        <f>SUM(Personalkosten!G28:'Personalkosten'!G30)</f>
        <v>0</v>
      </c>
      <c r="E29" s="820">
        <f>IF(SUM(Personalkosten!G28:'Personalkosten'!G30)="",0,SUM(Personalkosten!G28:'Personalkosten'!G30))</f>
        <v>0</v>
      </c>
      <c r="F29" s="821">
        <f>IF(Personalkosten!G33="",0,Personalkosten!G33)</f>
        <v>0</v>
      </c>
      <c r="G29" s="822">
        <f>IF(F29="","",E29*F29)</f>
        <v>0</v>
      </c>
      <c r="H29" s="823" t="e">
        <f>IF(Berechnungstage=0,0,G29/Berechnungstage)</f>
        <v>#VALUE!</v>
      </c>
      <c r="I29" s="824"/>
      <c r="J29" s="845">
        <f>G29-I29</f>
        <v>0</v>
      </c>
      <c r="K29" s="3039"/>
      <c r="L29" s="3038"/>
      <c r="M29" s="2652" t="str">
        <f>IF(P29&gt;0,Q29-F29," ")</f>
        <v xml:space="preserve"> </v>
      </c>
      <c r="N29" s="829"/>
      <c r="O29" s="812" t="s">
        <v>343</v>
      </c>
      <c r="P29" s="846"/>
      <c r="Q29" s="847" t="str">
        <f>IF(ISNUMBER(P29),P29*(1+R29),"")</f>
        <v/>
      </c>
      <c r="R29" s="815">
        <f t="shared" si="6"/>
        <v>0</v>
      </c>
      <c r="S29" s="713"/>
      <c r="T29" s="713"/>
      <c r="U29" s="713"/>
      <c r="V29" s="713"/>
      <c r="W29" s="713"/>
      <c r="X29" s="713"/>
      <c r="Y29" s="713"/>
      <c r="Z29" s="713"/>
    </row>
    <row r="30" spans="1:26" ht="12.75" customHeight="1" thickBot="1">
      <c r="A30" s="826" t="s">
        <v>88</v>
      </c>
      <c r="B30" s="3783">
        <f>E30</f>
        <v>0</v>
      </c>
      <c r="C30" s="818"/>
      <c r="D30" s="837" t="str">
        <f>Personalkosten!G39</f>
        <v/>
      </c>
      <c r="E30" s="3785">
        <f>IF(Personalkosten!G39="",0,Personalkosten!G39)</f>
        <v>0</v>
      </c>
      <c r="F30" s="3786">
        <f>IF(Personalkosten!G41="",0,Personalkosten!G41)</f>
        <v>0</v>
      </c>
      <c r="G30" s="822">
        <f>IF(F30="","",E30*F30)</f>
        <v>0</v>
      </c>
      <c r="H30" s="3784" t="e">
        <f>IF(Berechnungstage=0,0,G30/Berechnungstage)</f>
        <v>#VALUE!</v>
      </c>
      <c r="I30" s="3787">
        <f>G30/2</f>
        <v>0</v>
      </c>
      <c r="J30" s="3788">
        <f>IF(I30&gt;G30,"falsch",G30-I30)</f>
        <v>0</v>
      </c>
      <c r="K30" s="3039"/>
      <c r="L30" s="3038"/>
      <c r="M30" s="2650" t="str">
        <f>IF(P30&gt;0,Q30-F30," ")</f>
        <v xml:space="preserve"> </v>
      </c>
      <c r="N30" s="851"/>
      <c r="O30" s="852" t="s">
        <v>344</v>
      </c>
      <c r="P30" s="853"/>
      <c r="Q30" s="814" t="str">
        <f>IF(ISNUMBER(P30),P30*(1+R30),"")</f>
        <v/>
      </c>
      <c r="R30" s="815">
        <f t="shared" si="6"/>
        <v>0</v>
      </c>
      <c r="S30" s="665"/>
      <c r="T30" s="665"/>
      <c r="U30" s="665"/>
      <c r="V30" s="665"/>
      <c r="W30" s="665"/>
      <c r="X30" s="665"/>
      <c r="Y30" s="665"/>
      <c r="Z30" s="665"/>
    </row>
    <row r="31" spans="1:26" ht="12.75" customHeight="1">
      <c r="A31" s="4005" t="s">
        <v>2348</v>
      </c>
      <c r="B31" s="4132"/>
      <c r="C31" s="836"/>
      <c r="D31" s="837"/>
      <c r="E31" s="4123"/>
      <c r="F31" s="4124"/>
      <c r="G31" s="838">
        <f>IF(ISERROR(Übergangsregelung!G41),0,Übergangsregelung!F55)</f>
        <v>0</v>
      </c>
      <c r="H31" s="837" t="e">
        <f>IF(Berechnungstage=0,0,G31/Berechnungstage)</f>
        <v>#VALUE!</v>
      </c>
      <c r="I31" s="839">
        <f t="shared" ref="I31" si="10">G31</f>
        <v>0</v>
      </c>
      <c r="J31" s="3466" t="str">
        <f>IF('Überleitung 113c'!G121&gt;0,"PDL:","")</f>
        <v/>
      </c>
      <c r="K31" s="3039"/>
      <c r="L31" s="3038"/>
      <c r="M31" s="3779"/>
      <c r="N31" s="870"/>
      <c r="O31" s="1108"/>
      <c r="P31" s="3780"/>
      <c r="Q31" s="3781"/>
      <c r="R31" s="3782"/>
      <c r="S31" s="665"/>
      <c r="T31" s="665"/>
      <c r="U31" s="665"/>
      <c r="V31" s="665"/>
      <c r="W31" s="665"/>
      <c r="X31" s="665"/>
      <c r="Y31" s="665"/>
      <c r="Z31" s="665"/>
    </row>
    <row r="32" spans="1:26" ht="12.75" customHeight="1" thickBot="1">
      <c r="A32" s="4151" t="s">
        <v>2470</v>
      </c>
      <c r="B32" s="4132"/>
      <c r="C32" s="4125"/>
      <c r="D32" s="4126"/>
      <c r="E32" s="4127"/>
      <c r="F32" s="4128"/>
      <c r="G32" s="887">
        <f>IF(ISNUMBER('Personalmenge 113c'!G90),'Personalmenge 113c'!G90*(Ergebnis!F27-Ergebnis!F26),0)</f>
        <v>0</v>
      </c>
      <c r="H32" s="4126" t="e">
        <f>IF(Berechnungstage=0,0,G32/Berechnungstage)</f>
        <v>#VALUE!</v>
      </c>
      <c r="I32" s="839">
        <f>G32</f>
        <v>0</v>
      </c>
      <c r="J32" s="3465"/>
      <c r="K32" s="3039"/>
      <c r="L32" s="3038"/>
      <c r="M32" s="3779"/>
      <c r="N32" s="870"/>
      <c r="O32" s="1108"/>
      <c r="P32" s="3780"/>
      <c r="Q32" s="3781"/>
      <c r="R32" s="3782"/>
      <c r="S32" s="665"/>
      <c r="T32" s="665"/>
      <c r="U32" s="665"/>
      <c r="V32" s="665"/>
      <c r="W32" s="665"/>
      <c r="X32" s="665"/>
      <c r="Y32" s="665"/>
      <c r="Z32" s="665"/>
    </row>
    <row r="33" spans="1:26" ht="15.75" thickBot="1">
      <c r="A33" s="4129" t="s">
        <v>89</v>
      </c>
      <c r="B33" s="4130"/>
      <c r="C33" s="854"/>
      <c r="D33" s="4131">
        <f>SUM(D19:D30)</f>
        <v>0</v>
      </c>
      <c r="E33" s="854">
        <f>SUM(E19:E30)</f>
        <v>0</v>
      </c>
      <c r="F33" s="855">
        <f>IF(E33=0,0,G33/E33)</f>
        <v>0</v>
      </c>
      <c r="G33" s="855">
        <f>SUM(G19:G32)</f>
        <v>0</v>
      </c>
      <c r="H33" s="854" t="e">
        <f>SUM(H19:H32)</f>
        <v>#VALUE!</v>
      </c>
      <c r="I33" s="855">
        <f>SUM(I19:I32)</f>
        <v>0</v>
      </c>
      <c r="J33" s="855">
        <f>SUM(J19:J22)+SUM(J29:J30)</f>
        <v>0</v>
      </c>
      <c r="K33" s="3041"/>
      <c r="L33" s="3042"/>
      <c r="M33" s="857"/>
      <c r="N33" s="858"/>
      <c r="O33" s="859"/>
      <c r="P33" s="859"/>
      <c r="Q33" s="860"/>
      <c r="R33" s="861"/>
      <c r="S33" s="665"/>
      <c r="T33" s="665"/>
      <c r="U33" s="665"/>
      <c r="V33" s="665"/>
      <c r="W33" s="665"/>
      <c r="X33" s="665"/>
      <c r="Y33" s="665"/>
      <c r="Z33" s="665"/>
    </row>
    <row r="34" spans="1:26" ht="58.5" customHeight="1" thickBot="1">
      <c r="A34" s="862" t="s">
        <v>1504</v>
      </c>
      <c r="B34" s="863" t="s">
        <v>249</v>
      </c>
      <c r="C34" s="864" t="s">
        <v>250</v>
      </c>
      <c r="D34" s="865" t="e">
        <f>"ø PK FL über K/H/W:          "&amp;FIXED(((B36*E36)+(B40*E40)+(B41*E41))/(B36+B40+B41),0)&amp;" €"</f>
        <v>#DIV/0!</v>
      </c>
      <c r="E34" s="866" t="s">
        <v>1237</v>
      </c>
      <c r="F34" s="866" t="s">
        <v>264</v>
      </c>
      <c r="G34" s="867" t="str">
        <f>"ø PK K/H/W inkl. FL: "&amp;IF('Copy &amp; Paste'!I1="BEK Schade",FIXED(((B36*E36)+(B40*E40)+(B41*E41)+(E29*F29))/(B36+B40+B41+E29),0)&amp;" €","")</f>
        <v xml:space="preserve">ø PK K/H/W inkl. FL: </v>
      </c>
      <c r="H34" s="867" t="str">
        <f>"ø PK Leitung/Verwaltung: "&amp;IF('Copy &amp; Paste'!I1="BEK Schade",FIXED(((E19*F19)+(E20*F20))/(E19+E20),0)&amp;" €","")</f>
        <v xml:space="preserve">ø PK Leitung/Verwaltung: </v>
      </c>
      <c r="I34" s="867" t="str">
        <f>"Forderung Leitung/Verwaltung: "&amp;IF('Copy &amp; Paste'!I1="BEK Schade",FIXED('Copy &amp; Paste'!F79,0)&amp;" €","")&amp;"                       Ergebnis Leitung/Verwaltung: "&amp;FIXED(G19+G20,0)&amp;" €"</f>
        <v>Forderung Leitung/Verwaltung:                        Ergebnis Leitung/Verwaltung: 0 €</v>
      </c>
      <c r="J34" s="868"/>
      <c r="K34" s="3043"/>
      <c r="L34" s="3044"/>
      <c r="M34" s="2654"/>
      <c r="N34" s="870"/>
      <c r="O34" s="871"/>
      <c r="P34" s="871"/>
      <c r="Q34" s="872"/>
      <c r="R34" s="2660"/>
      <c r="S34" s="665"/>
      <c r="T34" s="665"/>
      <c r="U34" s="665"/>
      <c r="V34" s="665"/>
      <c r="W34" s="665"/>
      <c r="X34" s="665"/>
      <c r="Y34" s="665"/>
      <c r="Z34" s="665"/>
    </row>
    <row r="35" spans="1:26" s="717" customFormat="1" ht="12.75" customHeight="1" thickBot="1">
      <c r="A35" s="873" t="s">
        <v>824</v>
      </c>
      <c r="B35" s="803"/>
      <c r="C35" s="874"/>
      <c r="D35" s="875" t="e">
        <f>IF(Sachkosten!L7="",Sachkosten!L5,Sachkosten!L7)</f>
        <v>#VALUE!</v>
      </c>
      <c r="E35" s="876"/>
      <c r="F35" s="726"/>
      <c r="G35" s="809" t="e">
        <f>H35*Berechnungstage</f>
        <v>#VALUE!</v>
      </c>
      <c r="H35" s="877" t="e">
        <f>(Sachkosten!K5-IF(Sachkosten!K6="",0,Sachkosten!K6))/Berechnungstage</f>
        <v>#VALUE!</v>
      </c>
      <c r="I35" s="878"/>
      <c r="J35" s="809" t="e">
        <f>G35</f>
        <v>#VALUE!</v>
      </c>
      <c r="K35" s="3045" t="e">
        <f>H35+H36</f>
        <v>#VALUE!</v>
      </c>
      <c r="L35" s="3038" t="str">
        <f>Sachkosten!L5</f>
        <v/>
      </c>
      <c r="M35" s="2664" t="str">
        <f t="shared" ref="M35:M48" si="11">IF(P35&gt;0,Q35-H35," ")</f>
        <v xml:space="preserve"> </v>
      </c>
      <c r="N35" s="4388" t="s">
        <v>63</v>
      </c>
      <c r="O35" s="4389"/>
      <c r="P35" s="2665"/>
      <c r="Q35" s="2666" t="str">
        <f t="shared" ref="Q35:Q48" si="12">IF(ISNUMBER(P35),P35*(1+R35),"")</f>
        <v/>
      </c>
      <c r="R35" s="879">
        <f>$R$34</f>
        <v>0</v>
      </c>
      <c r="S35" s="713"/>
      <c r="T35" s="713"/>
      <c r="U35" s="713"/>
      <c r="V35" s="713"/>
      <c r="W35" s="713"/>
      <c r="X35" s="713"/>
      <c r="Y35" s="713"/>
      <c r="Z35" s="713"/>
    </row>
    <row r="36" spans="1:26" ht="12.75" customHeight="1" thickBot="1">
      <c r="A36" s="880" t="s">
        <v>251</v>
      </c>
      <c r="B36" s="881" t="str">
        <f>IF(E36&lt;=0,"0",(G36-C36*$G$12)/E36)</f>
        <v>0</v>
      </c>
      <c r="C36" s="882" t="e">
        <f>(G36*F36)/Berechnungstage</f>
        <v>#VALUE!</v>
      </c>
      <c r="D36" s="883" t="e">
        <f>IF(Sachkosten!L6="","",Sachkosten!L6)</f>
        <v>#VALUE!</v>
      </c>
      <c r="E36" s="884">
        <f>F29</f>
        <v>0</v>
      </c>
      <c r="F36" s="885">
        <v>0</v>
      </c>
      <c r="G36" s="886">
        <f>IF(Sachkosten!K6="",0,Sachkosten!K6)</f>
        <v>0</v>
      </c>
      <c r="H36" s="883" t="e">
        <f>IF(Berechnungstage=0,0,(G36/Berechnungstage))</f>
        <v>#VALUE!</v>
      </c>
      <c r="I36" s="887"/>
      <c r="J36" s="822">
        <f>G36-I36</f>
        <v>0</v>
      </c>
      <c r="K36" s="3039" t="e">
        <f>G35+G36</f>
        <v>#VALUE!</v>
      </c>
      <c r="L36" s="3040" t="str">
        <f>Sachkosten!K5</f>
        <v/>
      </c>
      <c r="M36" s="2650" t="str">
        <f>IF(P36&gt;0,Q36-G36," ")</f>
        <v xml:space="preserve"> </v>
      </c>
      <c r="N36" s="4388" t="s">
        <v>251</v>
      </c>
      <c r="O36" s="4389"/>
      <c r="P36" s="888"/>
      <c r="Q36" s="889" t="str">
        <f t="shared" si="12"/>
        <v/>
      </c>
      <c r="R36" s="890">
        <f t="shared" ref="R36:R50" si="13">$R$34</f>
        <v>0</v>
      </c>
      <c r="S36" s="665"/>
      <c r="T36" s="665"/>
      <c r="U36" s="665"/>
      <c r="V36" s="665"/>
      <c r="W36" s="665"/>
      <c r="X36" s="665"/>
      <c r="Y36" s="665"/>
      <c r="Z36" s="665"/>
    </row>
    <row r="37" spans="1:26" ht="12.75" customHeight="1">
      <c r="A37" s="880" t="s">
        <v>65</v>
      </c>
      <c r="B37" s="826"/>
      <c r="C37" s="891"/>
      <c r="D37" s="883" t="str">
        <f>IF(Sachkosten!L9="","",Sachkosten!L9)</f>
        <v/>
      </c>
      <c r="E37" s="876"/>
      <c r="F37" s="726"/>
      <c r="G37" s="822" t="e">
        <f>H37*Berechnungstage</f>
        <v>#VALUE!</v>
      </c>
      <c r="H37" s="892">
        <f>IF(Sachkosten!K9="",0,Sachkosten!K9/Berechnungstage)</f>
        <v>0</v>
      </c>
      <c r="I37" s="893" t="e">
        <f>G37/2</f>
        <v>#VALUE!</v>
      </c>
      <c r="J37" s="822" t="e">
        <f>G37-I37</f>
        <v>#VALUE!</v>
      </c>
      <c r="K37" s="3039" t="e">
        <f t="shared" ref="K37:K48" si="14">G37</f>
        <v>#VALUE!</v>
      </c>
      <c r="L37" s="3038" t="str">
        <f>Sachkosten!K9</f>
        <v/>
      </c>
      <c r="M37" s="2667" t="str">
        <f t="shared" si="11"/>
        <v xml:space="preserve"> </v>
      </c>
      <c r="N37" s="4388" t="s">
        <v>345</v>
      </c>
      <c r="O37" s="4389"/>
      <c r="P37" s="2665"/>
      <c r="Q37" s="2666" t="str">
        <f t="shared" si="12"/>
        <v/>
      </c>
      <c r="R37" s="890">
        <f t="shared" si="13"/>
        <v>0</v>
      </c>
      <c r="S37" s="665"/>
      <c r="T37" s="665"/>
      <c r="U37" s="665"/>
      <c r="V37" s="665"/>
      <c r="W37" s="665"/>
      <c r="X37" s="665"/>
      <c r="Y37" s="665"/>
      <c r="Z37" s="665"/>
    </row>
    <row r="38" spans="1:26" ht="12.75" customHeight="1">
      <c r="A38" s="880" t="s">
        <v>66</v>
      </c>
      <c r="B38" s="894"/>
      <c r="C38" s="895" t="e">
        <f>C36+C40+C41</f>
        <v>#VALUE!</v>
      </c>
      <c r="D38" s="883" t="str">
        <f>IF(Sachkosten!L14="",Sachkosten!L11,Sachkosten!L14)</f>
        <v/>
      </c>
      <c r="E38" s="896"/>
      <c r="F38" s="897"/>
      <c r="G38" s="822" t="e">
        <f>H38*Berechnungstage</f>
        <v>#VALUE!</v>
      </c>
      <c r="H38" s="892" t="e">
        <f>(Sachkosten!K11-IF(Sachkosten!K12="",0,Sachkosten!K12)-IF(Sachkosten!K13="",0,Sachkosten!K13)+IF(Sachkosten!K30="",0,Sachkosten!K30))/Berechnungstage</f>
        <v>#VALUE!</v>
      </c>
      <c r="I38" s="898"/>
      <c r="J38" s="845" t="e">
        <f>G38</f>
        <v>#VALUE!</v>
      </c>
      <c r="K38" s="3039" t="e">
        <f t="shared" si="14"/>
        <v>#VALUE!</v>
      </c>
      <c r="L38" s="3038" t="str">
        <f>Sachkosten!K14</f>
        <v/>
      </c>
      <c r="M38" s="2667" t="str">
        <f t="shared" si="11"/>
        <v xml:space="preserve"> </v>
      </c>
      <c r="N38" s="4388" t="s">
        <v>66</v>
      </c>
      <c r="O38" s="4389"/>
      <c r="P38" s="2665"/>
      <c r="Q38" s="2666" t="str">
        <f t="shared" si="12"/>
        <v/>
      </c>
      <c r="R38" s="890">
        <f t="shared" si="13"/>
        <v>0</v>
      </c>
      <c r="S38" s="665"/>
      <c r="T38" s="665"/>
      <c r="U38" s="665"/>
      <c r="V38" s="665"/>
      <c r="W38" s="665"/>
      <c r="X38" s="665"/>
      <c r="Y38" s="665"/>
      <c r="Z38" s="665"/>
    </row>
    <row r="39" spans="1:26" ht="12.75" customHeight="1" thickBot="1">
      <c r="A39" s="880" t="s">
        <v>252</v>
      </c>
      <c r="B39" s="826"/>
      <c r="C39" s="891"/>
      <c r="D39" s="883" t="str">
        <f>IF(Sachkosten!L18="","",Sachkosten!L18)</f>
        <v/>
      </c>
      <c r="E39" s="896"/>
      <c r="F39" s="897"/>
      <c r="G39" s="822" t="e">
        <f>H39*Berechnungstage</f>
        <v>#VALUE!</v>
      </c>
      <c r="H39" s="892">
        <f>IF(Sachkosten!K18="",0,Sachkosten!K18/Berechnungstage)</f>
        <v>0</v>
      </c>
      <c r="I39" s="835" t="e">
        <f>G39/2</f>
        <v>#VALUE!</v>
      </c>
      <c r="J39" s="845" t="e">
        <f>G39-I39</f>
        <v>#VALUE!</v>
      </c>
      <c r="K39" s="3039" t="e">
        <f t="shared" si="14"/>
        <v>#VALUE!</v>
      </c>
      <c r="L39" s="3038" t="str">
        <f>Sachkosten!K18</f>
        <v/>
      </c>
      <c r="M39" s="2667" t="str">
        <f t="shared" si="11"/>
        <v xml:space="preserve"> </v>
      </c>
      <c r="N39" s="4388" t="s">
        <v>252</v>
      </c>
      <c r="O39" s="4389"/>
      <c r="P39" s="2665"/>
      <c r="Q39" s="2666" t="str">
        <f t="shared" si="12"/>
        <v/>
      </c>
      <c r="R39" s="890">
        <f t="shared" si="13"/>
        <v>0</v>
      </c>
      <c r="S39" s="665"/>
      <c r="T39" s="665"/>
      <c r="U39" s="665"/>
      <c r="V39" s="665"/>
      <c r="W39" s="665"/>
      <c r="X39" s="665"/>
      <c r="Y39" s="665"/>
      <c r="Z39" s="665"/>
    </row>
    <row r="40" spans="1:26" ht="12.75" customHeight="1" thickBot="1">
      <c r="A40" s="880" t="s">
        <v>253</v>
      </c>
      <c r="B40" s="881" t="str">
        <f>IF(E40&lt;=0,"0",(G40-C40*$G$12)/E40)</f>
        <v>0</v>
      </c>
      <c r="C40" s="899" t="e">
        <f>(G40*F40)/Berechnungstage</f>
        <v>#VALUE!</v>
      </c>
      <c r="D40" s="883" t="e">
        <f>IF(Sachkosten!L12="","",Sachkosten!L12)</f>
        <v>#VALUE!</v>
      </c>
      <c r="E40" s="884">
        <f>F29</f>
        <v>0</v>
      </c>
      <c r="F40" s="885">
        <v>0.1</v>
      </c>
      <c r="G40" s="886">
        <f>IF(Sachkosten!K12="",0,Sachkosten!K12)</f>
        <v>0</v>
      </c>
      <c r="H40" s="883" t="e">
        <f>G40/Berechnungstage</f>
        <v>#VALUE!</v>
      </c>
      <c r="I40" s="887"/>
      <c r="J40" s="822">
        <f>G40-I40</f>
        <v>0</v>
      </c>
      <c r="K40" s="3039">
        <f t="shared" si="14"/>
        <v>0</v>
      </c>
      <c r="L40" s="3038">
        <f>Sachkosten!K12</f>
        <v>0</v>
      </c>
      <c r="M40" s="2650" t="str">
        <f>IF(P40&gt;0,Q40-G40," ")</f>
        <v xml:space="preserve"> </v>
      </c>
      <c r="N40" s="4388" t="s">
        <v>797</v>
      </c>
      <c r="O40" s="4389"/>
      <c r="P40" s="888"/>
      <c r="Q40" s="889" t="str">
        <f t="shared" si="12"/>
        <v/>
      </c>
      <c r="R40" s="890">
        <f t="shared" si="13"/>
        <v>0</v>
      </c>
      <c r="S40" s="665"/>
      <c r="T40" s="665"/>
      <c r="U40" s="665"/>
      <c r="V40" s="665"/>
      <c r="W40" s="665"/>
      <c r="X40" s="665"/>
      <c r="Y40" s="665"/>
      <c r="Z40" s="665"/>
    </row>
    <row r="41" spans="1:26" ht="12.75" customHeight="1" thickBot="1">
      <c r="A41" s="880" t="s">
        <v>254</v>
      </c>
      <c r="B41" s="881" t="str">
        <f>IF(E41&lt;=0,"0",(G41-C41*$G$12)/E41)</f>
        <v>0</v>
      </c>
      <c r="C41" s="899" t="e">
        <f>(G41*F41)/Berechnungstage</f>
        <v>#VALUE!</v>
      </c>
      <c r="D41" s="883" t="e">
        <f>IF(Sachkosten!L13="","",Sachkosten!L13)</f>
        <v>#VALUE!</v>
      </c>
      <c r="E41" s="884">
        <f>F29</f>
        <v>0</v>
      </c>
      <c r="F41" s="885">
        <v>0.1</v>
      </c>
      <c r="G41" s="886">
        <f>IF(Sachkosten!K13="",0,Sachkosten!K13)</f>
        <v>0</v>
      </c>
      <c r="H41" s="883" t="e">
        <f>G41/Berechnungstage</f>
        <v>#VALUE!</v>
      </c>
      <c r="I41" s="887"/>
      <c r="J41" s="822">
        <f>G41-I41</f>
        <v>0</v>
      </c>
      <c r="K41" s="3039">
        <f t="shared" si="14"/>
        <v>0</v>
      </c>
      <c r="L41" s="3038">
        <f>Sachkosten!K13</f>
        <v>0</v>
      </c>
      <c r="M41" s="2650" t="str">
        <f>IF(P41&gt;0,Q41-G41," ")</f>
        <v xml:space="preserve"> </v>
      </c>
      <c r="N41" s="4388" t="s">
        <v>798</v>
      </c>
      <c r="O41" s="4389"/>
      <c r="P41" s="888"/>
      <c r="Q41" s="889" t="str">
        <f t="shared" si="12"/>
        <v/>
      </c>
      <c r="R41" s="890">
        <f t="shared" si="13"/>
        <v>0</v>
      </c>
      <c r="S41" s="665"/>
      <c r="T41" s="665"/>
      <c r="U41" s="665"/>
      <c r="V41" s="665"/>
      <c r="W41" s="665"/>
      <c r="X41" s="665"/>
      <c r="Y41" s="665"/>
      <c r="Z41" s="665"/>
    </row>
    <row r="42" spans="1:26" ht="12.75" customHeight="1" thickBot="1">
      <c r="A42" s="880" t="s">
        <v>780</v>
      </c>
      <c r="B42" s="881" t="str">
        <f>IF(E42&lt;=0,"0",(G42-C42*$G$12)/E42)</f>
        <v>0</v>
      </c>
      <c r="C42" s="899" t="e">
        <f>(G42*F42)/Berechnungstage</f>
        <v>#VALUE!</v>
      </c>
      <c r="D42" s="900" t="str">
        <f>IF(Sachkosten!L16="","",Sachkosten!L16)</f>
        <v/>
      </c>
      <c r="E42" s="884">
        <f>F22</f>
        <v>0</v>
      </c>
      <c r="F42" s="901">
        <v>0</v>
      </c>
      <c r="G42" s="886">
        <f>IF(Sachkosten!K16="",0,Sachkosten!K16)</f>
        <v>0</v>
      </c>
      <c r="H42" s="883" t="e">
        <f>G42/Berechnungstage</f>
        <v>#VALUE!</v>
      </c>
      <c r="I42" s="893">
        <f>G42/2</f>
        <v>0</v>
      </c>
      <c r="J42" s="822">
        <f>G42-I42</f>
        <v>0</v>
      </c>
      <c r="K42" s="3039">
        <f t="shared" si="14"/>
        <v>0</v>
      </c>
      <c r="L42" s="3038" t="str">
        <f>Sachkosten!K16</f>
        <v/>
      </c>
      <c r="M42" s="2650" t="str">
        <f>IF(P42&gt;0,Q42-G42," ")</f>
        <v xml:space="preserve"> </v>
      </c>
      <c r="N42" s="4388" t="s">
        <v>780</v>
      </c>
      <c r="O42" s="4389"/>
      <c r="P42" s="888"/>
      <c r="Q42" s="889" t="str">
        <f t="shared" si="12"/>
        <v/>
      </c>
      <c r="R42" s="890">
        <f t="shared" si="13"/>
        <v>0</v>
      </c>
      <c r="S42" s="665"/>
      <c r="T42" s="665"/>
      <c r="U42" s="665"/>
      <c r="V42" s="665"/>
      <c r="W42" s="665"/>
      <c r="X42" s="665"/>
      <c r="Y42" s="665"/>
      <c r="Z42" s="665"/>
    </row>
    <row r="43" spans="1:26" ht="12.75" customHeight="1">
      <c r="A43" s="880" t="s">
        <v>9</v>
      </c>
      <c r="B43" s="826"/>
      <c r="C43" s="891"/>
      <c r="D43" s="883" t="str">
        <f>IF(Sachkosten!L20="","",Sachkosten!L20)</f>
        <v/>
      </c>
      <c r="E43" s="896"/>
      <c r="F43" s="896"/>
      <c r="G43" s="822" t="e">
        <f>H43*Berechnungstage</f>
        <v>#VALUE!</v>
      </c>
      <c r="H43" s="892">
        <f>IF(Sachkosten!K20="",0,Sachkosten!K20/Berechnungstage)</f>
        <v>0</v>
      </c>
      <c r="I43" s="822" t="e">
        <f>G43</f>
        <v>#VALUE!</v>
      </c>
      <c r="J43" s="902"/>
      <c r="K43" s="3039" t="e">
        <f t="shared" si="14"/>
        <v>#VALUE!</v>
      </c>
      <c r="L43" s="3038" t="str">
        <f>Sachkosten!K20</f>
        <v/>
      </c>
      <c r="M43" s="2667" t="str">
        <f t="shared" si="11"/>
        <v xml:space="preserve"> </v>
      </c>
      <c r="N43" s="4388" t="s">
        <v>9</v>
      </c>
      <c r="O43" s="4389"/>
      <c r="P43" s="2665"/>
      <c r="Q43" s="2666" t="str">
        <f t="shared" si="12"/>
        <v/>
      </c>
      <c r="R43" s="890">
        <f t="shared" si="13"/>
        <v>0</v>
      </c>
      <c r="S43" s="665"/>
      <c r="T43" s="665"/>
      <c r="U43" s="665"/>
      <c r="V43" s="665"/>
      <c r="W43" s="665"/>
      <c r="X43" s="665"/>
      <c r="Y43" s="665"/>
      <c r="Z43" s="665"/>
    </row>
    <row r="44" spans="1:26" ht="12.75" customHeight="1" thickBot="1">
      <c r="A44" s="880" t="s">
        <v>255</v>
      </c>
      <c r="B44" s="826"/>
      <c r="C44" s="891"/>
      <c r="D44" s="883" t="e">
        <f>IF(Sachkosten!L24="",Sachkosten!L22,Sachkosten!L24)</f>
        <v>#VALUE!</v>
      </c>
      <c r="E44" s="896"/>
      <c r="F44" s="896"/>
      <c r="G44" s="822" t="e">
        <f>H44*Berechnungstage</f>
        <v>#VALUE!</v>
      </c>
      <c r="H44" s="892" t="e">
        <f>IF(Sachkosten!K23="",Sachkosten!K22/Berechnungstage,(Sachkosten!K22-Sachkosten!K23)/Berechnungstage)</f>
        <v>#VALUE!</v>
      </c>
      <c r="I44" s="822" t="e">
        <f>G44</f>
        <v>#VALUE!</v>
      </c>
      <c r="J44" s="830"/>
      <c r="K44" s="3039" t="e">
        <f t="shared" si="14"/>
        <v>#VALUE!</v>
      </c>
      <c r="L44" s="3038" t="str">
        <f>Sachkosten!K22</f>
        <v/>
      </c>
      <c r="M44" s="2667" t="str">
        <f t="shared" si="11"/>
        <v xml:space="preserve"> </v>
      </c>
      <c r="N44" s="4388" t="s">
        <v>8</v>
      </c>
      <c r="O44" s="4389"/>
      <c r="P44" s="2665"/>
      <c r="Q44" s="2666" t="str">
        <f t="shared" si="12"/>
        <v/>
      </c>
      <c r="R44" s="890">
        <f t="shared" si="13"/>
        <v>0</v>
      </c>
      <c r="S44" s="665"/>
      <c r="T44" s="665"/>
      <c r="U44" s="665"/>
      <c r="V44" s="665"/>
      <c r="W44" s="665"/>
      <c r="X44" s="665"/>
      <c r="Y44" s="665"/>
      <c r="Z44" s="665"/>
    </row>
    <row r="45" spans="1:26" ht="12.75" customHeight="1" thickBot="1">
      <c r="A45" s="880" t="s">
        <v>829</v>
      </c>
      <c r="B45" s="881" t="e">
        <f>(G45/E45)</f>
        <v>#DIV/0!</v>
      </c>
      <c r="C45" s="891"/>
      <c r="D45" s="900" t="e">
        <f>IF(Sachkosten!L23="","",Sachkosten!L23)</f>
        <v>#VALUE!</v>
      </c>
      <c r="E45" s="884">
        <f>F25</f>
        <v>0</v>
      </c>
      <c r="F45" s="665"/>
      <c r="G45" s="886">
        <f>IF(Sachkosten!K23="",0,Sachkosten!K23)</f>
        <v>0</v>
      </c>
      <c r="H45" s="883" t="e">
        <f>G45/Berechnungstage</f>
        <v>#VALUE!</v>
      </c>
      <c r="I45" s="822">
        <f>G45</f>
        <v>0</v>
      </c>
      <c r="J45" s="840"/>
      <c r="K45" s="3039">
        <f t="shared" si="14"/>
        <v>0</v>
      </c>
      <c r="L45" s="3038">
        <f>Sachkosten!K23</f>
        <v>0</v>
      </c>
      <c r="M45" s="2650" t="str">
        <f>IF(P45&gt;0,Q45-G45," ")</f>
        <v xml:space="preserve"> </v>
      </c>
      <c r="N45" s="4388" t="s">
        <v>799</v>
      </c>
      <c r="O45" s="4389"/>
      <c r="P45" s="888"/>
      <c r="Q45" s="889" t="str">
        <f t="shared" si="12"/>
        <v/>
      </c>
      <c r="R45" s="890">
        <f t="shared" si="13"/>
        <v>0</v>
      </c>
      <c r="S45" s="665"/>
      <c r="T45" s="665"/>
      <c r="U45" s="665"/>
      <c r="V45" s="665"/>
      <c r="W45" s="665"/>
      <c r="X45" s="665"/>
      <c r="Y45" s="665"/>
      <c r="Z45" s="665"/>
    </row>
    <row r="46" spans="1:26" ht="12.75" customHeight="1" thickBot="1">
      <c r="A46" s="880" t="s">
        <v>230</v>
      </c>
      <c r="B46" s="826"/>
      <c r="C46" s="891"/>
      <c r="D46" s="883" t="e">
        <f>IF(Sachkosten!L28="",Sachkosten!L26,Sachkosten!L28)</f>
        <v>#VALUE!</v>
      </c>
      <c r="E46" s="896"/>
      <c r="F46" s="897"/>
      <c r="G46" s="822" t="e">
        <f>H46*Berechnungstage</f>
        <v>#VALUE!</v>
      </c>
      <c r="H46" s="892" t="e">
        <f>(Sachkosten!K26-IF(Sachkosten!K27="",0,Sachkosten!K27))/Berechnungstage</f>
        <v>#VALUE!</v>
      </c>
      <c r="I46" s="893" t="e">
        <f>G46/2</f>
        <v>#VALUE!</v>
      </c>
      <c r="J46" s="845" t="e">
        <f>G46-I46</f>
        <v>#VALUE!</v>
      </c>
      <c r="K46" s="3039" t="e">
        <f t="shared" si="14"/>
        <v>#VALUE!</v>
      </c>
      <c r="L46" s="3038" t="str">
        <f>Sachkosten!K26</f>
        <v/>
      </c>
      <c r="M46" s="2667" t="str">
        <f t="shared" si="11"/>
        <v xml:space="preserve"> </v>
      </c>
      <c r="N46" s="4388" t="s">
        <v>230</v>
      </c>
      <c r="O46" s="4389"/>
      <c r="P46" s="2665"/>
      <c r="Q46" s="2666" t="str">
        <f t="shared" si="12"/>
        <v/>
      </c>
      <c r="R46" s="890">
        <f t="shared" si="13"/>
        <v>0</v>
      </c>
      <c r="S46" s="665"/>
      <c r="T46" s="665"/>
      <c r="U46" s="665"/>
      <c r="V46" s="665"/>
      <c r="W46" s="665"/>
      <c r="X46" s="665"/>
      <c r="Y46" s="665"/>
      <c r="Z46" s="665"/>
    </row>
    <row r="47" spans="1:26" ht="12.75" customHeight="1" thickBot="1">
      <c r="A47" s="880" t="s">
        <v>256</v>
      </c>
      <c r="B47" s="881" t="str">
        <f>IF(E47&lt;=0,"0",(G47-C47*$G$12)/E47)</f>
        <v>0</v>
      </c>
      <c r="C47" s="903" t="e">
        <f>(G47*F47)/Berechnungstage</f>
        <v>#VALUE!</v>
      </c>
      <c r="D47" s="883" t="e">
        <f>IF(Sachkosten!L27="","",Sachkosten!L27)</f>
        <v>#VALUE!</v>
      </c>
      <c r="E47" s="884">
        <f>F20</f>
        <v>0</v>
      </c>
      <c r="F47" s="885">
        <v>0</v>
      </c>
      <c r="G47" s="886">
        <f>IF(Sachkosten!K27="",0,Sachkosten!K27)</f>
        <v>0</v>
      </c>
      <c r="H47" s="883" t="e">
        <f>G47/Berechnungstage</f>
        <v>#VALUE!</v>
      </c>
      <c r="I47" s="893">
        <f>G47/2</f>
        <v>0</v>
      </c>
      <c r="J47" s="845">
        <f>G47-I47</f>
        <v>0</v>
      </c>
      <c r="K47" s="3039">
        <f t="shared" si="14"/>
        <v>0</v>
      </c>
      <c r="L47" s="3038">
        <f>Sachkosten!K27</f>
        <v>0</v>
      </c>
      <c r="M47" s="2650" t="str">
        <f>IF(P47&gt;0,Q47-G47," ")</f>
        <v xml:space="preserve"> </v>
      </c>
      <c r="N47" s="4451" t="s">
        <v>800</v>
      </c>
      <c r="O47" s="4452"/>
      <c r="P47" s="888"/>
      <c r="Q47" s="889" t="str">
        <f t="shared" si="12"/>
        <v/>
      </c>
      <c r="R47" s="890">
        <f t="shared" si="13"/>
        <v>0</v>
      </c>
      <c r="S47" s="665"/>
      <c r="T47" s="665"/>
      <c r="U47" s="665"/>
      <c r="V47" s="665"/>
      <c r="W47" s="665"/>
      <c r="X47" s="665"/>
      <c r="Y47" s="665"/>
      <c r="Z47" s="665"/>
    </row>
    <row r="48" spans="1:26" ht="12.75" customHeight="1">
      <c r="A48" s="880" t="s">
        <v>257</v>
      </c>
      <c r="B48" s="826"/>
      <c r="C48" s="904"/>
      <c r="D48" s="883" t="str">
        <f>IF(Sachkosten!L32="","",Sachkosten!L32)</f>
        <v/>
      </c>
      <c r="E48" s="896"/>
      <c r="F48" s="896"/>
      <c r="G48" s="822" t="e">
        <f>H48*Berechnungstage</f>
        <v>#VALUE!</v>
      </c>
      <c r="H48" s="892">
        <f>IF(Sachkosten!K32="",0,Sachkosten!K32/Berechnungstage)</f>
        <v>0</v>
      </c>
      <c r="I48" s="893" t="e">
        <f>G48/2</f>
        <v>#VALUE!</v>
      </c>
      <c r="J48" s="822" t="e">
        <f>G48-I48</f>
        <v>#VALUE!</v>
      </c>
      <c r="K48" s="3039" t="e">
        <f t="shared" si="14"/>
        <v>#VALUE!</v>
      </c>
      <c r="L48" s="3038" t="str">
        <f>Sachkosten!K32</f>
        <v/>
      </c>
      <c r="M48" s="2667" t="str">
        <f t="shared" si="11"/>
        <v xml:space="preserve"> </v>
      </c>
      <c r="N48" s="4453" t="s">
        <v>346</v>
      </c>
      <c r="O48" s="4454"/>
      <c r="P48" s="2665"/>
      <c r="Q48" s="2666" t="str">
        <f t="shared" si="12"/>
        <v/>
      </c>
      <c r="R48" s="890">
        <f t="shared" si="13"/>
        <v>0</v>
      </c>
      <c r="S48" s="665"/>
      <c r="T48" s="665"/>
      <c r="U48" s="665"/>
      <c r="V48" s="665"/>
      <c r="W48" s="665"/>
      <c r="X48" s="665"/>
      <c r="Y48" s="665"/>
      <c r="Z48" s="665"/>
    </row>
    <row r="49" spans="1:26" ht="12.75" customHeight="1">
      <c r="A49" s="3789"/>
      <c r="B49" s="3790"/>
      <c r="C49" s="3790"/>
      <c r="D49" s="883"/>
      <c r="E49" s="4455"/>
      <c r="F49" s="4456"/>
      <c r="G49" s="822"/>
      <c r="H49" s="3791"/>
      <c r="I49" s="822"/>
      <c r="J49" s="822"/>
      <c r="K49" s="3038"/>
      <c r="L49" s="3038"/>
      <c r="M49" s="2648"/>
      <c r="N49" s="841"/>
      <c r="O49" s="841"/>
      <c r="P49" s="841"/>
      <c r="Q49" s="841"/>
      <c r="R49" s="905"/>
      <c r="S49" s="665"/>
      <c r="T49" s="665"/>
      <c r="U49" s="665"/>
      <c r="V49" s="665"/>
      <c r="W49" s="665"/>
      <c r="X49" s="665"/>
      <c r="Y49" s="665"/>
      <c r="Z49" s="665"/>
    </row>
    <row r="50" spans="1:26" ht="12.75" customHeight="1">
      <c r="A50" s="880" t="s">
        <v>258</v>
      </c>
      <c r="B50" s="826"/>
      <c r="C50" s="904"/>
      <c r="D50" s="883" t="str">
        <f>IF(Sachkosten!L36="","",Sachkosten!L36)</f>
        <v/>
      </c>
      <c r="E50" s="896"/>
      <c r="F50" s="896"/>
      <c r="G50" s="822" t="e">
        <f>H50*Berechnungstage</f>
        <v>#VALUE!</v>
      </c>
      <c r="H50" s="892">
        <f>IF(Sachkosten!K36="",0,Sachkosten!K36/Berechnungstage)</f>
        <v>0</v>
      </c>
      <c r="I50" s="893" t="e">
        <f>G50/2</f>
        <v>#VALUE!</v>
      </c>
      <c r="J50" s="822" t="e">
        <f>G50-I50</f>
        <v>#VALUE!</v>
      </c>
      <c r="K50" s="3038"/>
      <c r="L50" s="3038"/>
      <c r="M50" s="2667" t="str">
        <f>IF(P50&gt;0,Q50-H50," ")</f>
        <v xml:space="preserve"> </v>
      </c>
      <c r="N50" s="870"/>
      <c r="O50" s="906" t="s">
        <v>74</v>
      </c>
      <c r="P50" s="2665"/>
      <c r="Q50" s="2666" t="str">
        <f>IF(ISNUMBER(P50),P50*(1+R50),"")</f>
        <v/>
      </c>
      <c r="R50" s="890">
        <f t="shared" si="13"/>
        <v>0</v>
      </c>
      <c r="S50" s="665"/>
      <c r="T50" s="665"/>
      <c r="U50" s="665"/>
      <c r="V50" s="665"/>
      <c r="W50" s="665"/>
      <c r="X50" s="665"/>
      <c r="Y50" s="665"/>
      <c r="Z50" s="665"/>
    </row>
    <row r="51" spans="1:26" ht="12.75" customHeight="1">
      <c r="A51" s="907" t="s">
        <v>223</v>
      </c>
      <c r="B51" s="834"/>
      <c r="C51" s="908"/>
      <c r="D51" s="883" t="str">
        <f>IF(Sachkosten!L38="","",Sachkosten!L38)</f>
        <v/>
      </c>
      <c r="E51" s="896"/>
      <c r="F51" s="896"/>
      <c r="G51" s="822" t="e">
        <f>H51*Berechnungstage</f>
        <v>#VALUE!</v>
      </c>
      <c r="H51" s="892">
        <f>IF(Sachkosten!K38="",0,Sachkosten!K38/Berechnungstage)</f>
        <v>0</v>
      </c>
      <c r="I51" s="893" t="e">
        <f>G51</f>
        <v>#VALUE!</v>
      </c>
      <c r="J51" s="893"/>
      <c r="K51" s="3039" t="e">
        <f>G51</f>
        <v>#VALUE!</v>
      </c>
      <c r="L51" s="3038" t="str">
        <f>Sachkosten!K38</f>
        <v/>
      </c>
      <c r="M51" s="2667" t="str">
        <f>IF(P51&gt;0,Q51-H51," ")</f>
        <v xml:space="preserve"> </v>
      </c>
      <c r="N51" s="870"/>
      <c r="O51" s="906" t="s">
        <v>231</v>
      </c>
      <c r="P51" s="2668"/>
      <c r="Q51" s="2666" t="str">
        <f>IF(ISNUMBER(P51),P51*(1+R51),"")</f>
        <v/>
      </c>
      <c r="R51" s="909">
        <f>R34</f>
        <v>0</v>
      </c>
      <c r="S51" s="665"/>
      <c r="T51" s="665"/>
      <c r="U51" s="665"/>
      <c r="V51" s="665"/>
      <c r="W51" s="665"/>
      <c r="X51" s="665"/>
      <c r="Y51" s="665"/>
      <c r="Z51" s="665"/>
    </row>
    <row r="52" spans="1:26" ht="12.75" customHeight="1" thickBot="1">
      <c r="A52" s="910" t="str">
        <f>IF(R52&gt;0,"Gewinn-, Risiko- oder Wagnis","Sonstiges")</f>
        <v>Sonstiges</v>
      </c>
      <c r="B52" s="848"/>
      <c r="C52" s="911"/>
      <c r="D52" s="912" t="str">
        <f>IF(Sachkosten!L40="","",Sachkosten!L40)</f>
        <v/>
      </c>
      <c r="E52" s="896"/>
      <c r="F52" s="896"/>
      <c r="G52" s="849" t="e">
        <f>H52*Berechnungstage</f>
        <v>#VALUE!</v>
      </c>
      <c r="H52" s="913">
        <f>IF(Sachkosten!K40="",0,Sachkosten!K40/Berechnungstage)</f>
        <v>0</v>
      </c>
      <c r="I52" s="914"/>
      <c r="J52" s="850" t="e">
        <f>IF(AND(G52&lt;0,I52&lt;G52),"falsch",IF(AND(G52&gt;0,I52&gt;G52),"falsch",G52-I52))</f>
        <v>#VALUE!</v>
      </c>
      <c r="K52" s="3039" t="e">
        <f>G52</f>
        <v>#VALUE!</v>
      </c>
      <c r="L52" s="3038" t="str">
        <f>Sachkosten!K40</f>
        <v/>
      </c>
      <c r="M52" s="2649" t="e">
        <f>(($I$55-$I$52-$I$50)-($C$15*$F$25))</f>
        <v>#VALUE!</v>
      </c>
      <c r="N52" s="4466" t="str">
        <f>IF(R52&gt;0,"Gewinn-, Risiko- oder Wagnis","Sonstiges")</f>
        <v>Sonstiges</v>
      </c>
      <c r="O52" s="4467"/>
      <c r="P52" s="915" t="e">
        <f>(($I$55-$I$52-$I$50)-($C$15*$F$25))*$R$52</f>
        <v>#VALUE!</v>
      </c>
      <c r="Q52" s="916" t="e">
        <f>(($I$55-$I$52-$I$50)-($C$15*$F$25))*$R$52/Berechnungstage</f>
        <v>#VALUE!</v>
      </c>
      <c r="R52" s="917"/>
      <c r="S52" s="665"/>
      <c r="T52" s="665"/>
      <c r="U52" s="665"/>
      <c r="V52" s="665"/>
      <c r="W52" s="665"/>
      <c r="X52" s="665"/>
      <c r="Y52" s="665"/>
      <c r="Z52" s="665"/>
    </row>
    <row r="53" spans="1:26" ht="12.75" customHeight="1" thickBot="1">
      <c r="A53" s="705" t="s">
        <v>90</v>
      </c>
      <c r="B53" s="918"/>
      <c r="C53" s="919"/>
      <c r="D53" s="854" t="e">
        <f>SUM(D35:D52)</f>
        <v>#VALUE!</v>
      </c>
      <c r="E53" s="920"/>
      <c r="F53" s="920"/>
      <c r="G53" s="855" t="e">
        <f>SUM(G35:G52)</f>
        <v>#VALUE!</v>
      </c>
      <c r="H53" s="854" t="e">
        <f>SUM(H35:H52)</f>
        <v>#VALUE!</v>
      </c>
      <c r="I53" s="855" t="e">
        <f>SUM(I35:I52)</f>
        <v>#VALUE!</v>
      </c>
      <c r="J53" s="856" t="e">
        <f>SUM(J35:J52)</f>
        <v>#VALUE!</v>
      </c>
      <c r="K53" s="3041" t="e">
        <f>G53</f>
        <v>#VALUE!</v>
      </c>
      <c r="L53" s="3042">
        <f>Sachkosten!K42</f>
        <v>0</v>
      </c>
      <c r="M53" s="664"/>
      <c r="N53" s="664"/>
      <c r="O53" s="665"/>
      <c r="P53" s="665"/>
      <c r="Q53" s="665"/>
      <c r="R53" s="665"/>
      <c r="S53" s="665"/>
      <c r="T53" s="665"/>
      <c r="U53" s="665"/>
      <c r="V53" s="665"/>
      <c r="W53" s="665"/>
      <c r="X53" s="665"/>
      <c r="Y53" s="665"/>
      <c r="Z53" s="665"/>
    </row>
    <row r="54" spans="1:26" ht="12.75" customHeight="1" thickBot="1">
      <c r="A54" s="921"/>
      <c r="B54" s="713"/>
      <c r="C54" s="922"/>
      <c r="D54" s="922"/>
      <c r="E54" s="923"/>
      <c r="F54" s="924"/>
      <c r="G54" s="925"/>
      <c r="H54" s="926"/>
      <c r="I54" s="927"/>
      <c r="J54" s="928"/>
      <c r="K54" s="3043"/>
      <c r="L54" s="3038"/>
      <c r="M54" s="929"/>
      <c r="N54" s="930"/>
      <c r="O54" s="931"/>
      <c r="P54" s="931"/>
      <c r="Q54" s="931"/>
      <c r="R54" s="931"/>
      <c r="S54" s="931"/>
      <c r="T54" s="932"/>
      <c r="U54" s="932"/>
      <c r="V54" s="665"/>
      <c r="W54" s="665"/>
      <c r="X54" s="665"/>
      <c r="Y54" s="665"/>
      <c r="Z54" s="665"/>
    </row>
    <row r="55" spans="1:26" s="943" customFormat="1" ht="24.75" thickBot="1">
      <c r="A55" s="933" t="s">
        <v>91</v>
      </c>
      <c r="B55" s="934"/>
      <c r="C55" s="18"/>
      <c r="D55" s="19" t="str">
        <f>IF(F55="","",G55/F55-1)</f>
        <v/>
      </c>
      <c r="E55" s="17"/>
      <c r="F55" s="20"/>
      <c r="G55" s="935" t="e">
        <f>G33+G53</f>
        <v>#VALUE!</v>
      </c>
      <c r="H55" s="936" t="e">
        <f>H33+H53</f>
        <v>#VALUE!</v>
      </c>
      <c r="I55" s="935" t="e">
        <f>I33+I53</f>
        <v>#VALUE!</v>
      </c>
      <c r="J55" s="937" t="e">
        <f>J33+J53</f>
        <v>#VALUE!</v>
      </c>
      <c r="K55" s="3043"/>
      <c r="L55" s="3046"/>
      <c r="M55" s="2855" t="s">
        <v>1840</v>
      </c>
      <c r="N55" s="2856" t="s">
        <v>1841</v>
      </c>
      <c r="O55" s="2857" t="s">
        <v>1842</v>
      </c>
      <c r="P55" s="2858" t="s">
        <v>1843</v>
      </c>
      <c r="Q55" s="2859" t="s">
        <v>1844</v>
      </c>
      <c r="R55" s="940"/>
      <c r="S55" s="940"/>
      <c r="T55" s="941"/>
      <c r="U55" s="941"/>
      <c r="V55" s="942"/>
      <c r="W55" s="942"/>
      <c r="X55" s="942"/>
      <c r="Y55" s="942"/>
      <c r="Z55" s="942"/>
    </row>
    <row r="56" spans="1:26" s="943" customFormat="1" ht="12.75" customHeight="1" thickBot="1">
      <c r="A56" s="944"/>
      <c r="B56" s="454"/>
      <c r="C56" s="132" t="s">
        <v>1066</v>
      </c>
      <c r="D56" s="455"/>
      <c r="E56" s="133" t="s">
        <v>1067</v>
      </c>
      <c r="F56" s="945"/>
      <c r="G56" s="946"/>
      <c r="H56" s="947"/>
      <c r="I56" s="948"/>
      <c r="J56" s="949"/>
      <c r="K56" s="3047"/>
      <c r="L56" s="3048"/>
      <c r="M56" s="2860" t="e">
        <f>E25+E26+B45</f>
        <v>#DIV/0!</v>
      </c>
      <c r="N56" s="2861">
        <f>E19+E20</f>
        <v>0</v>
      </c>
      <c r="O56" s="2861">
        <f>E21+E22</f>
        <v>0</v>
      </c>
      <c r="P56" s="2862" t="s">
        <v>1845</v>
      </c>
      <c r="Q56" s="2863" t="s">
        <v>1845</v>
      </c>
      <c r="R56" s="950"/>
      <c r="S56" s="950"/>
      <c r="T56" s="951"/>
      <c r="U56" s="941"/>
      <c r="V56" s="942"/>
      <c r="W56" s="942"/>
      <c r="X56" s="942"/>
      <c r="Y56" s="942"/>
      <c r="Z56" s="942"/>
    </row>
    <row r="57" spans="1:26" s="943" customFormat="1" ht="21" customHeight="1" thickBot="1">
      <c r="A57" s="4457" t="str">
        <f>IF(F57="","",IF(F57=0,"","Anzahl Bewohner mit Sondennahrung gem. Empfehlung Grundsatzausschuss ="))</f>
        <v/>
      </c>
      <c r="B57" s="4458"/>
      <c r="C57" s="4458"/>
      <c r="D57" s="4458"/>
      <c r="E57" s="4459"/>
      <c r="F57" s="952">
        <f>'Copy &amp; Paste'!F73</f>
        <v>0</v>
      </c>
      <c r="G57" s="953" t="str">
        <f>IF(F57=0,"",IF(F57="","","Basiswert"))</f>
        <v/>
      </c>
      <c r="H57" s="954" t="s">
        <v>23</v>
      </c>
      <c r="I57" s="955"/>
      <c r="J57" s="956" t="e">
        <f>ROUND(J55/Berechnungstage,2)</f>
        <v>#VALUE!</v>
      </c>
      <c r="K57" s="3036"/>
      <c r="L57" s="3049"/>
      <c r="M57" s="2864" t="e">
        <f>ROUND(M58/M56,2)</f>
        <v>#DIV/0!</v>
      </c>
      <c r="N57" s="2865" t="e">
        <f>ROUND(N58/N56,2)</f>
        <v>#DIV/0!</v>
      </c>
      <c r="O57" s="2866" t="e">
        <f>ROUND(O58/O56,2)</f>
        <v>#DIV/0!</v>
      </c>
      <c r="P57" s="2867"/>
      <c r="Q57" s="2868"/>
      <c r="R57" s="951"/>
      <c r="S57" s="951"/>
      <c r="T57" s="957"/>
      <c r="U57" s="941"/>
      <c r="V57" s="942"/>
      <c r="W57" s="942"/>
      <c r="X57" s="942"/>
      <c r="Y57" s="942"/>
      <c r="Z57" s="942"/>
    </row>
    <row r="58" spans="1:26" s="943" customFormat="1" ht="12.75" customHeight="1" thickBot="1">
      <c r="A58" s="352" t="s">
        <v>1061</v>
      </c>
      <c r="B58" s="135" t="e">
        <f>H20+H21+H46+H47</f>
        <v>#VALUE!</v>
      </c>
      <c r="C58" s="137" t="e">
        <f>"V-Rate:   "&amp;TEXT(B58/(B56)-1,"0,00 % ")</f>
        <v>#VALUE!</v>
      </c>
      <c r="D58" s="4464" t="s">
        <v>1069</v>
      </c>
      <c r="E58" s="4465"/>
      <c r="F58" s="456"/>
      <c r="G58" s="948"/>
      <c r="H58" s="958"/>
      <c r="I58" s="959"/>
      <c r="J58" s="960"/>
      <c r="K58" s="938"/>
      <c r="L58" s="939"/>
      <c r="M58" s="2869">
        <f>G25+G26+G45</f>
        <v>0</v>
      </c>
      <c r="N58" s="2870">
        <f>G19+G20</f>
        <v>0</v>
      </c>
      <c r="O58" s="2871">
        <f>G21+G22</f>
        <v>0</v>
      </c>
      <c r="P58" s="2872" t="e">
        <f>H20+H21+H46+H47</f>
        <v>#VALUE!</v>
      </c>
      <c r="Q58" s="2873" t="e">
        <f>H22+H29+H36+H38+H39+H40+H41</f>
        <v>#VALUE!</v>
      </c>
      <c r="R58" s="951"/>
      <c r="S58" s="951"/>
      <c r="T58" s="941"/>
      <c r="U58" s="941"/>
      <c r="V58" s="942"/>
      <c r="W58" s="942"/>
      <c r="X58" s="942"/>
      <c r="Y58" s="942"/>
      <c r="Z58" s="942"/>
    </row>
    <row r="59" spans="1:26" s="717" customFormat="1" ht="12.75" customHeight="1" thickBot="1">
      <c r="A59" s="353" t="s">
        <v>1062</v>
      </c>
      <c r="B59" s="136" t="e">
        <f>H22+H29+H36+H38+H39+H40+H41+H42</f>
        <v>#VALUE!</v>
      </c>
      <c r="C59" s="138" t="e">
        <f>"V-Rate:   "&amp;TEXT(B59/(D56)-1,"0,00 % ")</f>
        <v>#VALUE!</v>
      </c>
      <c r="D59" s="134" t="s">
        <v>1065</v>
      </c>
      <c r="E59" s="962"/>
      <c r="F59" s="130" t="e">
        <f>"V-Rate:   "&amp;TEXT(H55/(F58)-1,"0,00 % ")</f>
        <v>#VALUE!</v>
      </c>
      <c r="G59" s="963"/>
      <c r="H59" s="963"/>
      <c r="I59" s="781"/>
      <c r="J59" s="782"/>
      <c r="K59" s="726"/>
      <c r="L59" s="713"/>
      <c r="M59" s="930"/>
      <c r="N59" s="961"/>
      <c r="O59" s="4463"/>
      <c r="P59" s="4463"/>
      <c r="Q59" s="951"/>
      <c r="R59" s="951"/>
      <c r="S59" s="951"/>
      <c r="T59" s="724"/>
      <c r="U59" s="724"/>
      <c r="V59" s="713"/>
      <c r="W59" s="713"/>
      <c r="X59" s="713"/>
      <c r="Y59" s="713"/>
      <c r="Z59" s="713"/>
    </row>
    <row r="60" spans="1:26" ht="21.75" thickBot="1">
      <c r="A60" s="4460" t="s">
        <v>260</v>
      </c>
      <c r="B60" s="4461"/>
      <c r="C60" s="4461"/>
      <c r="D60" s="4461"/>
      <c r="E60" s="4461"/>
      <c r="F60" s="4461"/>
      <c r="G60" s="4461"/>
      <c r="H60" s="4461"/>
      <c r="I60" s="4461"/>
      <c r="J60" s="4462"/>
      <c r="K60" s="4425"/>
      <c r="L60" s="4425"/>
      <c r="M60" s="4425"/>
      <c r="N60" s="4425"/>
      <c r="O60" s="4425"/>
      <c r="P60" s="4425"/>
      <c r="Q60" s="4425"/>
      <c r="R60" s="4425"/>
      <c r="S60" s="951"/>
      <c r="T60" s="932"/>
      <c r="U60" s="932"/>
      <c r="V60" s="665"/>
      <c r="W60" s="665"/>
      <c r="X60" s="665"/>
      <c r="Y60" s="665"/>
      <c r="Z60" s="665"/>
    </row>
    <row r="61" spans="1:26" s="717" customFormat="1" ht="27" customHeight="1" thickBot="1">
      <c r="A61" s="921"/>
      <c r="B61" s="965"/>
      <c r="C61" s="966"/>
      <c r="D61" s="966"/>
      <c r="E61" s="967"/>
      <c r="F61" s="968"/>
      <c r="G61" s="969"/>
      <c r="H61" s="969"/>
      <c r="I61" s="970"/>
      <c r="J61" s="971"/>
      <c r="K61" s="3053"/>
      <c r="L61" s="3054"/>
      <c r="M61" s="3055"/>
      <c r="N61" s="3056"/>
      <c r="O61" s="3054"/>
      <c r="P61" s="3036"/>
      <c r="Q61" s="3057"/>
      <c r="R61" s="3036"/>
      <c r="S61" s="951"/>
      <c r="T61" s="724"/>
      <c r="U61" s="724"/>
      <c r="V61" s="713"/>
      <c r="W61" s="713"/>
      <c r="X61" s="713"/>
      <c r="Y61" s="713"/>
      <c r="Z61" s="713"/>
    </row>
    <row r="62" spans="1:26">
      <c r="A62" s="972"/>
      <c r="B62" s="973"/>
      <c r="C62" s="973"/>
      <c r="D62" s="973"/>
      <c r="E62" s="973"/>
      <c r="F62" s="973"/>
      <c r="G62" s="974"/>
      <c r="H62" s="975"/>
      <c r="I62" s="976"/>
      <c r="J62" s="977"/>
      <c r="K62" s="3058"/>
      <c r="L62" s="3037"/>
      <c r="M62" s="3051"/>
      <c r="N62" s="3038"/>
      <c r="O62" s="3051"/>
      <c r="P62" s="3050"/>
      <c r="Q62" s="3051"/>
      <c r="R62" s="3059"/>
      <c r="S62" s="951"/>
      <c r="T62" s="932"/>
      <c r="U62" s="932"/>
      <c r="V62" s="665"/>
      <c r="W62" s="665"/>
      <c r="X62" s="665"/>
      <c r="Y62" s="665"/>
      <c r="Z62" s="665"/>
    </row>
    <row r="63" spans="1:26" s="717" customFormat="1" ht="13.5" thickBot="1">
      <c r="A63" s="979"/>
      <c r="B63" s="980"/>
      <c r="C63" s="980"/>
      <c r="D63" s="980"/>
      <c r="E63" s="980"/>
      <c r="F63" s="980"/>
      <c r="G63" s="981"/>
      <c r="H63" s="982"/>
      <c r="I63" s="983"/>
      <c r="J63" s="984"/>
      <c r="K63" s="3060"/>
      <c r="L63" s="3037"/>
      <c r="M63" s="3051"/>
      <c r="N63" s="3038"/>
      <c r="O63" s="3051"/>
      <c r="P63" s="3050"/>
      <c r="Q63" s="3051"/>
      <c r="R63" s="3059"/>
      <c r="S63" s="951"/>
      <c r="T63" s="724"/>
      <c r="U63" s="724"/>
      <c r="V63" s="713"/>
      <c r="W63" s="713"/>
      <c r="X63" s="713"/>
      <c r="Y63" s="713"/>
      <c r="Z63" s="713"/>
    </row>
    <row r="64" spans="1:26">
      <c r="A64" s="986"/>
      <c r="B64" s="713"/>
      <c r="C64" s="987"/>
      <c r="D64" s="346"/>
      <c r="E64" s="346"/>
      <c r="F64" s="348"/>
      <c r="G64" s="347"/>
      <c r="H64" s="988"/>
      <c r="I64" s="665"/>
      <c r="J64" s="977"/>
      <c r="K64" s="3061"/>
      <c r="L64" s="3037"/>
      <c r="M64" s="3051"/>
      <c r="N64" s="3038"/>
      <c r="O64" s="3051"/>
      <c r="P64" s="3050"/>
      <c r="Q64" s="3051"/>
      <c r="R64" s="3059"/>
      <c r="S64" s="951"/>
      <c r="T64" s="932"/>
      <c r="U64" s="932"/>
      <c r="V64" s="665"/>
      <c r="W64" s="665"/>
      <c r="X64" s="665"/>
      <c r="Y64" s="665"/>
      <c r="Z64" s="665"/>
    </row>
    <row r="65" spans="1:26">
      <c r="A65" s="986"/>
      <c r="B65" s="713"/>
      <c r="C65" s="963"/>
      <c r="D65" s="963"/>
      <c r="E65" s="963"/>
      <c r="F65" s="963"/>
      <c r="G65" s="665"/>
      <c r="H65" s="990"/>
      <c r="I65" s="4403"/>
      <c r="J65" s="4404"/>
      <c r="K65" s="3061"/>
      <c r="L65" s="3037"/>
      <c r="M65" s="3051"/>
      <c r="N65" s="3038"/>
      <c r="O65" s="3051"/>
      <c r="P65" s="3050"/>
      <c r="Q65" s="3051"/>
      <c r="R65" s="3059"/>
      <c r="S65" s="951"/>
      <c r="T65" s="932"/>
      <c r="U65" s="932"/>
      <c r="V65" s="665"/>
      <c r="W65" s="665"/>
      <c r="X65" s="665"/>
      <c r="Y65" s="665"/>
      <c r="Z65" s="665"/>
    </row>
    <row r="66" spans="1:26" ht="16.5" thickBot="1">
      <c r="A66" s="986"/>
      <c r="B66" s="713"/>
      <c r="C66" s="992"/>
      <c r="D66" s="992"/>
      <c r="E66" s="992"/>
      <c r="F66" s="992"/>
      <c r="G66" s="993"/>
      <c r="H66" s="988"/>
      <c r="I66" s="4403"/>
      <c r="J66" s="4404"/>
      <c r="K66" s="3058"/>
      <c r="L66" s="3037"/>
      <c r="M66" s="3051"/>
      <c r="N66" s="3037"/>
      <c r="O66" s="3051"/>
      <c r="P66" s="3052"/>
      <c r="Q66" s="3051"/>
      <c r="R66" s="3062"/>
      <c r="S66" s="941"/>
      <c r="T66" s="932"/>
      <c r="U66" s="932"/>
      <c r="V66" s="665"/>
      <c r="W66" s="665"/>
      <c r="X66" s="665"/>
      <c r="Y66" s="665"/>
      <c r="Z66" s="665"/>
    </row>
    <row r="67" spans="1:26" s="717" customFormat="1" ht="13.5" thickBot="1">
      <c r="A67" s="705" t="s">
        <v>810</v>
      </c>
      <c r="B67" s="994">
        <v>1</v>
      </c>
      <c r="C67" s="994">
        <v>2</v>
      </c>
      <c r="D67" s="994">
        <v>3</v>
      </c>
      <c r="E67" s="994">
        <v>4</v>
      </c>
      <c r="F67" s="994">
        <v>5</v>
      </c>
      <c r="G67" s="995"/>
      <c r="H67" s="990"/>
      <c r="I67" s="4405"/>
      <c r="J67" s="4406"/>
      <c r="K67" s="3037"/>
      <c r="L67" s="3037"/>
      <c r="M67" s="3051"/>
      <c r="N67" s="3037"/>
      <c r="O67" s="3051"/>
      <c r="P67" s="3050"/>
      <c r="Q67" s="3051"/>
      <c r="R67" s="3059"/>
      <c r="S67" s="724"/>
      <c r="T67" s="724"/>
      <c r="U67" s="724"/>
      <c r="V67" s="713"/>
      <c r="W67" s="713"/>
      <c r="X67" s="713"/>
      <c r="Y67" s="713"/>
      <c r="Z67" s="713"/>
    </row>
    <row r="68" spans="1:26" ht="14.25" customHeight="1" thickBot="1">
      <c r="A68" s="921"/>
      <c r="B68" s="996"/>
      <c r="C68" s="997"/>
      <c r="D68" s="997"/>
      <c r="E68" s="997"/>
      <c r="F68" s="997"/>
      <c r="G68" s="998" t="s">
        <v>830</v>
      </c>
      <c r="H68" s="999"/>
      <c r="I68" s="4407" t="s">
        <v>261</v>
      </c>
      <c r="J68" s="4408"/>
      <c r="K68" s="3037"/>
      <c r="L68" s="3037"/>
      <c r="M68" s="3051"/>
      <c r="N68" s="3037"/>
      <c r="O68" s="3051"/>
      <c r="P68" s="3052"/>
      <c r="Q68" s="3051"/>
      <c r="R68" s="3062"/>
      <c r="S68" s="665"/>
      <c r="T68" s="665"/>
      <c r="U68" s="665"/>
      <c r="V68" s="665"/>
      <c r="W68" s="665"/>
      <c r="X68" s="665"/>
      <c r="Y68" s="665"/>
      <c r="Z68" s="665"/>
    </row>
    <row r="69" spans="1:26" s="943" customFormat="1" ht="16.5" thickBot="1">
      <c r="A69" s="972" t="s">
        <v>262</v>
      </c>
      <c r="B69" s="1000" t="e">
        <f>ROUND((C69*0.78)+(F81*0.78),2)</f>
        <v>#VALUE!</v>
      </c>
      <c r="C69" s="1001" t="e">
        <f>ROUND((IF(H2&lt;DATE(2025,1,1),770,805)+B82)/30.42,2)</f>
        <v>#VALUE!</v>
      </c>
      <c r="D69" s="1002" t="e">
        <f>ROUND((IF(H2&lt;DATE(2025,1,1),1262,1319)+B82)/30.42,2)</f>
        <v>#VALUE!</v>
      </c>
      <c r="E69" s="1002" t="e">
        <f>ROUND((IF(H2&lt;DATE(2025,1,1),1775,1855)+B82)/30.42,2)</f>
        <v>#VALUE!</v>
      </c>
      <c r="F69" s="1003" t="e">
        <f>ROUND((IF(H2&lt;DATE(2025,1,1),2005,2096)+B82)/30.42,2)</f>
        <v>#VALUE!</v>
      </c>
      <c r="G69" s="1004" t="e">
        <f>IF(J3&lt;12,"",(SUMPRODUCT(B69:F69,$B$12:$F$12)/SUMPRODUCT($B$74:$F$74,$B$12:$F$12))-1)</f>
        <v>#VALUE!</v>
      </c>
      <c r="H69" s="1005"/>
      <c r="I69" s="4409"/>
      <c r="J69" s="4410"/>
      <c r="K69" s="3047"/>
      <c r="L69" s="3063"/>
      <c r="M69" s="3064"/>
      <c r="N69" s="3037"/>
      <c r="O69" s="3065"/>
      <c r="P69" s="3036"/>
      <c r="Q69" s="3036"/>
      <c r="R69" s="3037"/>
      <c r="S69" s="713"/>
      <c r="T69" s="942"/>
      <c r="U69" s="942"/>
      <c r="V69" s="942"/>
      <c r="W69" s="942"/>
      <c r="X69" s="942"/>
      <c r="Y69" s="942"/>
      <c r="Z69" s="942"/>
    </row>
    <row r="70" spans="1:26" s="943" customFormat="1" ht="16.5" thickBot="1">
      <c r="A70" s="1006" t="s">
        <v>23</v>
      </c>
      <c r="B70" s="1007" t="e">
        <f>ROUND(IF($F$57="",$J$57,IF($F$57=0,$J$57,Schaltjahr!$H$43)),2)</f>
        <v>#VALUE!</v>
      </c>
      <c r="C70" s="1008" t="e">
        <f>$B$70</f>
        <v>#VALUE!</v>
      </c>
      <c r="D70" s="1009" t="e">
        <f>$B$70</f>
        <v>#VALUE!</v>
      </c>
      <c r="E70" s="1009" t="e">
        <f>$B$70</f>
        <v>#VALUE!</v>
      </c>
      <c r="F70" s="1010" t="e">
        <f>$B$70</f>
        <v>#VALUE!</v>
      </c>
      <c r="G70" s="1011" t="e">
        <f>IF(J3&lt;12,"",IF(J57="","",(J57/'Copy &amp; Paste'!F28)-1))</f>
        <v>#VALUE!</v>
      </c>
      <c r="H70" s="1005"/>
      <c r="I70" s="4411" t="e">
        <f>IF(J3&lt;12,"",((SUMPRODUCT($B$69:$F$69,$B$12:$F$12)+$G$12*$J$57)/(SUMPRODUCT($B$74:$F$74,$B$12:$F$12)+$G$12*$G$74)-1))</f>
        <v>#VALUE!</v>
      </c>
      <c r="J70" s="4412"/>
      <c r="K70" s="1012"/>
      <c r="L70" s="1013"/>
      <c r="M70" s="664"/>
      <c r="N70" s="664"/>
      <c r="O70" s="665"/>
      <c r="P70" s="665"/>
      <c r="Q70" s="665"/>
      <c r="R70" s="713"/>
      <c r="S70" s="665"/>
      <c r="T70" s="942"/>
      <c r="U70" s="942"/>
      <c r="V70" s="942"/>
      <c r="W70" s="942"/>
      <c r="X70" s="942"/>
      <c r="Y70" s="942"/>
      <c r="Z70" s="942"/>
    </row>
    <row r="71" spans="1:26" s="943" customFormat="1" ht="16.5" thickBot="1">
      <c r="A71" s="1014" t="s">
        <v>263</v>
      </c>
      <c r="B71" s="1015" t="e">
        <f>SUM(B69:B70)</f>
        <v>#VALUE!</v>
      </c>
      <c r="C71" s="1016" t="e">
        <f>SUM(C69:C70)</f>
        <v>#VALUE!</v>
      </c>
      <c r="D71" s="1017" t="e">
        <f>SUM(D69:D70)</f>
        <v>#VALUE!</v>
      </c>
      <c r="E71" s="1017" t="e">
        <f>SUM(E69:E70)</f>
        <v>#VALUE!</v>
      </c>
      <c r="F71" s="1018" t="e">
        <f>SUM(F69:F70)</f>
        <v>#VALUE!</v>
      </c>
      <c r="G71" s="1019" t="e">
        <f>"Erlöse: "&amp;FIXED(SUMPRODUCT($B$69:$F$69,$B$12:$F$12)+($J$57*Berechnungstage),0)</f>
        <v>#VALUE!</v>
      </c>
      <c r="H71" s="1005"/>
      <c r="I71" s="1020" t="s">
        <v>238</v>
      </c>
      <c r="J71" s="1021" t="e">
        <f>ROUND($C$70*56.5%,2)</f>
        <v>#VALUE!</v>
      </c>
      <c r="K71" s="1022" t="e">
        <f>SUM($J$71:$J$72)</f>
        <v>#VALUE!</v>
      </c>
      <c r="L71" s="1023"/>
      <c r="M71" s="939"/>
      <c r="N71" s="939"/>
      <c r="O71" s="942"/>
      <c r="P71" s="942"/>
      <c r="Q71" s="942"/>
      <c r="R71" s="665"/>
      <c r="S71" s="713"/>
      <c r="T71" s="942"/>
      <c r="U71" s="942"/>
      <c r="V71" s="942"/>
      <c r="W71" s="942"/>
      <c r="X71" s="942"/>
      <c r="Y71" s="942"/>
      <c r="Z71" s="942"/>
    </row>
    <row r="72" spans="1:26" s="943" customFormat="1" ht="16.5" thickBot="1">
      <c r="A72" s="986" t="str">
        <f>IF(F57=0,"",IF(F57="","","Unterkunft und Verpflegung bei Sondennahrung"))</f>
        <v/>
      </c>
      <c r="B72" s="1024"/>
      <c r="C72" s="1025"/>
      <c r="D72" s="4472" t="str">
        <f>IF(A72="","",J71+J73)</f>
        <v/>
      </c>
      <c r="E72" s="4473"/>
      <c r="F72" s="4474"/>
      <c r="G72" s="4474"/>
      <c r="H72" s="1026"/>
      <c r="I72" s="1027" t="s">
        <v>239</v>
      </c>
      <c r="J72" s="1028" t="e">
        <f>$C$70-J71</f>
        <v>#VALUE!</v>
      </c>
      <c r="K72" s="1029"/>
      <c r="L72" s="1030"/>
      <c r="M72" s="939"/>
      <c r="N72" s="939"/>
      <c r="O72" s="942"/>
      <c r="P72" s="942"/>
      <c r="Q72" s="942"/>
      <c r="R72" s="713"/>
      <c r="S72" s="665"/>
      <c r="T72" s="942"/>
      <c r="U72" s="942"/>
      <c r="V72" s="942"/>
      <c r="W72" s="942"/>
      <c r="X72" s="942"/>
      <c r="Y72" s="942"/>
      <c r="Z72" s="942"/>
    </row>
    <row r="73" spans="1:26" s="943" customFormat="1" ht="16.5" thickBot="1">
      <c r="A73" s="705" t="s">
        <v>978</v>
      </c>
      <c r="B73" s="1031" t="e">
        <f>IF(ISBLANK('Copy &amp; Paste'!$G$32),"Investbetrag fehlt",B71+'Copy &amp; Paste'!$G$32)</f>
        <v>#VALUE!</v>
      </c>
      <c r="C73" s="1032" t="e">
        <f>IF(ISBLANK('Copy &amp; Paste'!$G$32),"Investbetrag fehlt",C71+'Copy &amp; Paste'!$G$32)</f>
        <v>#VALUE!</v>
      </c>
      <c r="D73" s="1032" t="e">
        <f>IF(ISBLANK('Copy &amp; Paste'!$G$32),"Investbetrag fehlt",D71+'Copy &amp; Paste'!$G$32)</f>
        <v>#VALUE!</v>
      </c>
      <c r="E73" s="1032" t="e">
        <f>IF(ISBLANK('Copy &amp; Paste'!$G$32),"Investbetrag fehlt",E71+'Copy &amp; Paste'!$G$32)</f>
        <v>#VALUE!</v>
      </c>
      <c r="F73" s="1033" t="e">
        <f>IF(ISBLANK('Copy &amp; Paste'!$G$32),"Investbetrag fehlt",F71+'Copy &amp; Paste'!$G$32)</f>
        <v>#VALUE!</v>
      </c>
      <c r="G73" s="2662" t="s">
        <v>1552</v>
      </c>
      <c r="H73" s="1026"/>
      <c r="I73" s="1034" t="s">
        <v>1505</v>
      </c>
      <c r="J73" s="1035" t="e">
        <f>J72/3*2</f>
        <v>#VALUE!</v>
      </c>
      <c r="K73" s="1029"/>
      <c r="L73" s="1030"/>
      <c r="M73" s="939"/>
      <c r="N73" s="939"/>
      <c r="O73" s="942"/>
      <c r="P73" s="942"/>
      <c r="Q73" s="942"/>
      <c r="R73" s="665"/>
      <c r="S73" s="665"/>
      <c r="T73" s="942"/>
      <c r="U73" s="942"/>
      <c r="V73" s="942"/>
      <c r="W73" s="942"/>
      <c r="X73" s="942"/>
      <c r="Y73" s="942"/>
      <c r="Z73" s="942"/>
    </row>
    <row r="74" spans="1:26" s="1040" customFormat="1" ht="16.5" customHeight="1">
      <c r="A74" s="2655" t="s">
        <v>1551</v>
      </c>
      <c r="B74" s="1036">
        <f>'Copy &amp; Paste'!F23</f>
        <v>0</v>
      </c>
      <c r="C74" s="1037">
        <f>'Copy &amp; Paste'!F24</f>
        <v>0</v>
      </c>
      <c r="D74" s="1038">
        <f>'Copy &amp; Paste'!F25</f>
        <v>0</v>
      </c>
      <c r="E74" s="1038">
        <f>'Copy &amp; Paste'!F26</f>
        <v>0</v>
      </c>
      <c r="F74" s="1038">
        <f>'Copy &amp; Paste'!F27</f>
        <v>0</v>
      </c>
      <c r="G74" s="2656">
        <f>'Copy &amp; Paste'!F28</f>
        <v>0</v>
      </c>
      <c r="H74" s="665"/>
      <c r="I74" s="4481" t="s">
        <v>1202</v>
      </c>
      <c r="J74" s="4483" t="e">
        <f>IF(Ergebnis!$F$80&lt;&gt;Ergebnis!$G$80,"Achtung: Ergebnis!F76 noch anpassen!","Ergebnis!F76 = OK")</f>
        <v>#VALUE!</v>
      </c>
      <c r="K74" s="665"/>
      <c r="L74" s="1039"/>
      <c r="M74" s="939"/>
      <c r="N74" s="939"/>
      <c r="O74" s="942"/>
      <c r="P74" s="942"/>
      <c r="Q74" s="942"/>
      <c r="R74" s="665"/>
      <c r="S74" s="665"/>
      <c r="T74" s="1039"/>
      <c r="U74" s="1039"/>
      <c r="V74" s="1039"/>
      <c r="W74" s="1039"/>
      <c r="X74" s="1039"/>
      <c r="Y74" s="1039"/>
      <c r="Z74" s="1039"/>
    </row>
    <row r="75" spans="1:26" s="1040" customFormat="1" ht="15.75" customHeight="1" thickBot="1">
      <c r="A75" s="986"/>
      <c r="B75" s="1041"/>
      <c r="C75" s="1042"/>
      <c r="D75" s="1043"/>
      <c r="E75" s="1043"/>
      <c r="F75" s="1043"/>
      <c r="G75" s="1043"/>
      <c r="H75" s="665"/>
      <c r="I75" s="4482"/>
      <c r="J75" s="4484"/>
      <c r="K75" s="665"/>
      <c r="L75" s="1039"/>
      <c r="M75" s="939"/>
      <c r="N75" s="939"/>
      <c r="O75" s="942"/>
      <c r="P75" s="942"/>
      <c r="Q75" s="942"/>
      <c r="R75" s="665"/>
      <c r="S75" s="713"/>
      <c r="T75" s="1039"/>
      <c r="U75" s="1039"/>
      <c r="V75" s="1039"/>
      <c r="W75" s="1039"/>
      <c r="X75" s="1039"/>
      <c r="Y75" s="1039"/>
      <c r="Z75" s="1039"/>
    </row>
    <row r="76" spans="1:26" s="1040" customFormat="1" ht="15.75">
      <c r="A76" s="4488" t="s">
        <v>982</v>
      </c>
      <c r="B76" s="4489"/>
      <c r="C76" s="1044"/>
      <c r="D76" s="4490" t="s">
        <v>1003</v>
      </c>
      <c r="E76" s="4491"/>
      <c r="F76" s="4491"/>
      <c r="G76" s="4492"/>
      <c r="H76" s="665"/>
      <c r="I76" s="4475" t="s">
        <v>1406</v>
      </c>
      <c r="J76" s="4476"/>
      <c r="K76" s="665"/>
      <c r="L76" s="1039"/>
      <c r="M76" s="1039"/>
      <c r="N76" s="1039"/>
      <c r="O76" s="1039"/>
      <c r="P76" s="1039"/>
      <c r="Q76" s="1039"/>
      <c r="R76" s="713"/>
      <c r="S76" s="665"/>
      <c r="T76" s="1039"/>
      <c r="U76" s="1039"/>
      <c r="V76" s="1039"/>
      <c r="W76" s="1039"/>
      <c r="X76" s="1039"/>
      <c r="Y76" s="1039"/>
      <c r="Z76" s="1039"/>
    </row>
    <row r="77" spans="1:26" s="1040" customFormat="1" ht="15.75">
      <c r="A77" s="986"/>
      <c r="B77" s="665"/>
      <c r="C77" s="1045"/>
      <c r="D77" s="1046"/>
      <c r="E77" s="1046"/>
      <c r="F77" s="1046"/>
      <c r="G77" s="1046"/>
      <c r="H77" s="665"/>
      <c r="I77" s="1047" t="str">
        <f>IF(Landesteil="Westfalen-Lippe","LWL:","LVR:")</f>
        <v>LVR:</v>
      </c>
      <c r="J77" s="1048"/>
      <c r="K77" s="665"/>
      <c r="L77" s="1039"/>
      <c r="M77" s="665"/>
      <c r="N77" s="665"/>
      <c r="O77" s="665"/>
      <c r="P77" s="665"/>
      <c r="Q77" s="665"/>
      <c r="R77" s="665"/>
      <c r="S77" s="942"/>
      <c r="T77" s="1039"/>
      <c r="U77" s="1039"/>
      <c r="V77" s="1039"/>
      <c r="W77" s="1039"/>
      <c r="X77" s="1039"/>
      <c r="Y77" s="1039"/>
      <c r="Z77" s="1039"/>
    </row>
    <row r="78" spans="1:26" s="1040" customFormat="1" ht="15.75">
      <c r="A78" s="1049" t="s">
        <v>971</v>
      </c>
      <c r="B78" s="1050" t="e">
        <f>(I55-G80)/12</f>
        <v>#VALUE!</v>
      </c>
      <c r="C78" s="1051"/>
      <c r="D78" s="1052" t="s">
        <v>1028</v>
      </c>
      <c r="E78" s="1051"/>
      <c r="F78" s="1053" t="e">
        <f>FIXED(SUMPRODUCT($B$69:$F$69,$B$12:$F$12),0)</f>
        <v>#VALUE!</v>
      </c>
      <c r="G78" s="1052" t="s">
        <v>1002</v>
      </c>
      <c r="H78" s="1054"/>
      <c r="I78" s="1047" t="s">
        <v>1056</v>
      </c>
      <c r="J78" s="1048"/>
      <c r="K78" s="665"/>
      <c r="L78" s="1039"/>
      <c r="M78" s="1039"/>
      <c r="N78" s="1039"/>
      <c r="O78" s="1039"/>
      <c r="P78" s="1039"/>
      <c r="Q78" s="1039"/>
      <c r="R78" s="942"/>
      <c r="S78" s="942"/>
      <c r="T78" s="1039"/>
      <c r="U78" s="1039"/>
      <c r="V78" s="1039"/>
      <c r="W78" s="1039"/>
      <c r="X78" s="1039"/>
      <c r="Y78" s="1039"/>
      <c r="Z78" s="1039"/>
    </row>
    <row r="79" spans="1:26" s="1040" customFormat="1" ht="15.75">
      <c r="A79" s="1055" t="s">
        <v>985</v>
      </c>
      <c r="B79" s="1056" t="e">
        <f>IF(H2&lt;DATE(2025,1,1),C6*770+D6*1262+E6*1775+F6*2005,C6*805+D6*1319+E6*1855+F6*2096)</f>
        <v>#VALUE!</v>
      </c>
      <c r="C79" s="1057"/>
      <c r="D79" s="1058" t="s">
        <v>1001</v>
      </c>
      <c r="E79" s="1058"/>
      <c r="F79" s="1059" t="e">
        <f>FIXED(SUMPRODUCT($C$69:$F$69,$C$12:$F$12),0)</f>
        <v>#VALUE!</v>
      </c>
      <c r="G79" s="1057" t="s">
        <v>1002</v>
      </c>
      <c r="H79" s="1054"/>
      <c r="I79" s="1060"/>
      <c r="J79" s="1061"/>
      <c r="K79" s="665"/>
      <c r="L79" s="1039"/>
      <c r="M79" s="1039"/>
      <c r="N79" s="1039"/>
      <c r="O79" s="1039"/>
      <c r="P79" s="1039"/>
      <c r="Q79" s="1039"/>
      <c r="R79" s="942"/>
      <c r="S79" s="942"/>
      <c r="T79" s="1039"/>
      <c r="U79" s="1039"/>
      <c r="V79" s="1039"/>
      <c r="W79" s="1039"/>
      <c r="X79" s="1039"/>
      <c r="Y79" s="1039"/>
      <c r="Z79" s="1039"/>
    </row>
    <row r="80" spans="1:26" s="1040" customFormat="1" ht="16.5" customHeight="1" thickBot="1">
      <c r="A80" s="1055" t="s">
        <v>222</v>
      </c>
      <c r="B80" s="1062" t="e">
        <f>B78-B79</f>
        <v>#VALUE!</v>
      </c>
      <c r="C80" s="1057"/>
      <c r="D80" s="1057" t="s">
        <v>222</v>
      </c>
      <c r="E80" s="1057"/>
      <c r="F80" s="1063" t="e">
        <f>F78-F79</f>
        <v>#VALUE!</v>
      </c>
      <c r="G80" s="1064"/>
      <c r="H80" s="1054"/>
      <c r="I80" s="4477" t="s">
        <v>1441</v>
      </c>
      <c r="J80" s="4478"/>
      <c r="K80" s="665"/>
      <c r="L80" s="1039"/>
      <c r="M80" s="1039"/>
      <c r="N80" s="1039"/>
      <c r="O80" s="1039"/>
      <c r="P80" s="1039"/>
      <c r="Q80" s="1039"/>
      <c r="R80" s="942"/>
      <c r="S80" s="942"/>
      <c r="T80" s="1039"/>
      <c r="U80" s="1039"/>
      <c r="V80" s="1039"/>
      <c r="W80" s="1039"/>
      <c r="X80" s="1039"/>
      <c r="Y80" s="1039"/>
      <c r="Z80" s="1039"/>
    </row>
    <row r="81" spans="1:26" s="1040" customFormat="1" ht="16.5" thickTop="1">
      <c r="A81" s="1055" t="s">
        <v>986</v>
      </c>
      <c r="B81" s="1065" t="e">
        <f>SUM(C6:F6)</f>
        <v>#VALUE!</v>
      </c>
      <c r="C81" s="1057"/>
      <c r="D81" s="1057" t="s">
        <v>1506</v>
      </c>
      <c r="E81" s="1057"/>
      <c r="F81" s="1066" t="e">
        <f>G80/(Berechnungstage-B12)</f>
        <v>#VALUE!</v>
      </c>
      <c r="G81" s="1057"/>
      <c r="H81" s="1054"/>
      <c r="I81" s="4479"/>
      <c r="J81" s="4480"/>
      <c r="K81" s="665"/>
      <c r="L81" s="1039"/>
      <c r="M81" s="677"/>
      <c r="N81" s="664"/>
      <c r="O81" s="665"/>
      <c r="P81" s="665"/>
      <c r="Q81" s="665"/>
      <c r="R81" s="942"/>
      <c r="S81" s="942"/>
      <c r="T81" s="1039"/>
      <c r="U81" s="1039"/>
      <c r="V81" s="1039"/>
      <c r="W81" s="1039"/>
      <c r="X81" s="1039"/>
      <c r="Y81" s="1039"/>
      <c r="Z81" s="1039"/>
    </row>
    <row r="82" spans="1:26" s="1040" customFormat="1" ht="15.75">
      <c r="A82" s="1067" t="s">
        <v>917</v>
      </c>
      <c r="B82" s="1068" t="e">
        <f>B80/B81</f>
        <v>#VALUE!</v>
      </c>
      <c r="C82" s="131" t="e">
        <f>"V-Rate:   "&amp;TEXT(B82/('Copy &amp; Paste'!F33)-1,"0,00 % ")</f>
        <v>#VALUE!</v>
      </c>
      <c r="D82" s="1069"/>
      <c r="E82" s="1070"/>
      <c r="F82" s="1070"/>
      <c r="G82" s="1051"/>
      <c r="H82" s="1054"/>
      <c r="I82" s="1071" t="str">
        <f>Protokoll!C63</f>
        <v/>
      </c>
      <c r="J82" s="1072" t="s">
        <v>1053</v>
      </c>
      <c r="K82" s="665"/>
      <c r="L82" s="1039"/>
      <c r="M82" s="664"/>
      <c r="N82" s="664"/>
      <c r="O82" s="665"/>
      <c r="P82" s="665"/>
      <c r="Q82" s="665"/>
      <c r="R82" s="942"/>
      <c r="S82" s="1039"/>
      <c r="T82" s="1039"/>
      <c r="U82" s="1039"/>
      <c r="V82" s="1039"/>
      <c r="W82" s="1039"/>
      <c r="X82" s="1039"/>
      <c r="Y82" s="1039"/>
      <c r="Z82" s="1039"/>
    </row>
    <row r="83" spans="1:26" s="1040" customFormat="1" ht="15.75">
      <c r="A83" s="1073" t="s">
        <v>987</v>
      </c>
      <c r="B83" s="1074" t="e">
        <f>B82/30.42</f>
        <v>#VALUE!</v>
      </c>
      <c r="C83" s="1075"/>
      <c r="D83" s="1076"/>
      <c r="E83" s="1075"/>
      <c r="F83" s="1075"/>
      <c r="G83" s="1075"/>
      <c r="H83" s="1054"/>
      <c r="I83" s="1077" t="str">
        <f>Protokoll!D63</f>
        <v/>
      </c>
      <c r="J83" s="1072" t="s">
        <v>1054</v>
      </c>
      <c r="K83" s="665"/>
      <c r="L83" s="1039"/>
      <c r="M83" s="696"/>
      <c r="N83" s="696"/>
      <c r="O83" s="697"/>
      <c r="P83" s="697"/>
      <c r="Q83" s="697"/>
      <c r="R83" s="1039"/>
      <c r="S83" s="1039"/>
      <c r="T83" s="1039"/>
      <c r="U83" s="1039"/>
      <c r="V83" s="1039"/>
      <c r="W83" s="1039"/>
      <c r="X83" s="1039"/>
      <c r="Y83" s="1039"/>
      <c r="Z83" s="1039"/>
    </row>
    <row r="84" spans="1:26" s="1040" customFormat="1" ht="15.75">
      <c r="A84" s="1055"/>
      <c r="B84" s="1078"/>
      <c r="C84" s="1079"/>
      <c r="D84" s="1079"/>
      <c r="E84" s="1079"/>
      <c r="F84" s="1079"/>
      <c r="G84" s="1079"/>
      <c r="H84" s="665"/>
      <c r="I84" s="1077" t="str">
        <f>IF('Copy &amp; Paste'!H12="","",IF(I83="","",ROUND(Protokoll!E63,2)))</f>
        <v/>
      </c>
      <c r="J84" s="1072" t="str">
        <f>IF('Copy &amp; Paste'!H12="","","Zuschlagsbetrag KzP")</f>
        <v/>
      </c>
      <c r="K84" s="665"/>
      <c r="L84" s="1039"/>
      <c r="M84" s="696"/>
      <c r="N84" s="696"/>
      <c r="O84" s="697"/>
      <c r="P84" s="697"/>
      <c r="Q84" s="697"/>
      <c r="R84" s="1039"/>
      <c r="S84" s="1039"/>
      <c r="T84" s="1039"/>
      <c r="U84" s="1039"/>
      <c r="V84" s="1039"/>
      <c r="W84" s="1039"/>
      <c r="X84" s="1039"/>
      <c r="Y84" s="1039"/>
      <c r="Z84" s="1039"/>
    </row>
    <row r="85" spans="1:26" s="1040" customFormat="1" ht="15.75">
      <c r="A85" s="1055"/>
      <c r="B85" s="1078"/>
      <c r="C85" s="1079"/>
      <c r="D85" s="1079"/>
      <c r="E85" s="1079"/>
      <c r="F85" s="1079"/>
      <c r="G85" s="1079"/>
      <c r="H85" s="665"/>
      <c r="I85" s="3660"/>
      <c r="J85" s="3661"/>
      <c r="K85" s="665"/>
      <c r="L85" s="1039"/>
      <c r="M85" s="696"/>
      <c r="N85" s="696"/>
      <c r="O85" s="697"/>
      <c r="P85" s="697"/>
      <c r="Q85" s="697"/>
      <c r="R85" s="1039"/>
      <c r="S85" s="1039"/>
      <c r="T85" s="1039"/>
      <c r="U85" s="1039"/>
      <c r="V85" s="1039"/>
      <c r="W85" s="1039"/>
      <c r="X85" s="1039"/>
      <c r="Y85" s="1039"/>
      <c r="Z85" s="1039"/>
    </row>
    <row r="86" spans="1:26" ht="15.75">
      <c r="A86" s="1081"/>
      <c r="B86" s="1082"/>
      <c r="C86" s="1083"/>
      <c r="D86" s="1083"/>
      <c r="E86" s="1083"/>
      <c r="F86" s="1083"/>
      <c r="G86" s="1084"/>
      <c r="H86" s="1085"/>
      <c r="I86" s="1086"/>
      <c r="J86" s="1087"/>
      <c r="K86" s="695"/>
      <c r="L86" s="1088"/>
      <c r="M86" s="696"/>
      <c r="N86" s="696"/>
      <c r="O86" s="697"/>
      <c r="P86" s="697"/>
      <c r="Q86" s="697"/>
      <c r="R86" s="1039"/>
      <c r="S86" s="1039"/>
      <c r="T86" s="697"/>
      <c r="U86" s="697"/>
      <c r="V86" s="697"/>
      <c r="W86" s="697"/>
      <c r="X86" s="697"/>
      <c r="Y86" s="697"/>
      <c r="Z86" s="697"/>
    </row>
    <row r="87" spans="1:26">
      <c r="A87" s="871"/>
      <c r="B87" s="1089"/>
      <c r="C87" s="1090"/>
      <c r="D87" s="1091"/>
      <c r="E87" s="4487"/>
      <c r="F87" s="4487"/>
      <c r="G87" s="1092"/>
      <c r="H87" s="1092"/>
      <c r="I87" s="1093"/>
      <c r="J87" s="1093"/>
      <c r="K87" s="783"/>
      <c r="L87" s="713"/>
      <c r="M87" s="664"/>
      <c r="N87" s="664"/>
      <c r="O87" s="713"/>
      <c r="P87" s="713"/>
      <c r="Q87" s="713"/>
      <c r="R87" s="713"/>
      <c r="S87" s="713"/>
      <c r="T87" s="713"/>
      <c r="U87" s="713"/>
      <c r="V87" s="713"/>
      <c r="W87" s="713"/>
      <c r="X87" s="713"/>
      <c r="Y87" s="713"/>
      <c r="Z87" s="713"/>
    </row>
    <row r="88" spans="1:26">
      <c r="A88" s="4025" t="s">
        <v>2463</v>
      </c>
      <c r="B88" s="4026"/>
      <c r="C88" s="4027"/>
      <c r="D88" s="4028" t="s">
        <v>2337</v>
      </c>
      <c r="E88" s="4029">
        <f>E25</f>
        <v>0</v>
      </c>
      <c r="F88" s="4028" t="e">
        <f>IF(AND('Personalmenge 113c'!D80="Bestandsschutz",Ergebnis!E25&gt;'Personalmenge 113c'!F73),"Bestandsschutz","Richtwert 113c SGB XI")</f>
        <v>#VALUE!</v>
      </c>
      <c r="G88" s="1092"/>
      <c r="H88" s="1092"/>
      <c r="I88" s="1093"/>
      <c r="J88" s="1093"/>
      <c r="K88" s="783"/>
      <c r="L88" s="713"/>
      <c r="M88" s="664"/>
      <c r="N88" s="664"/>
      <c r="O88" s="713"/>
      <c r="P88" s="713"/>
      <c r="Q88" s="713"/>
      <c r="R88" s="713"/>
      <c r="S88" s="713"/>
      <c r="T88" s="713"/>
      <c r="U88" s="713"/>
      <c r="V88" s="713"/>
      <c r="W88" s="713"/>
      <c r="X88" s="713"/>
      <c r="Y88" s="713"/>
      <c r="Z88" s="713"/>
    </row>
    <row r="89" spans="1:26">
      <c r="A89" s="4030"/>
      <c r="B89" s="4026"/>
      <c r="C89" s="4027"/>
      <c r="D89" s="4028" t="s">
        <v>2336</v>
      </c>
      <c r="E89" s="4029">
        <f>E26</f>
        <v>0</v>
      </c>
      <c r="F89" s="4028" t="e">
        <f>IF(AND('Personalmenge 113c'!D81="Bestandsschutz",Ergebnis!E26&gt;'Personalmenge 113c'!F74),"Bestandsschutz","Richtwert § 113c SGB XI")</f>
        <v>#VALUE!</v>
      </c>
      <c r="G89" s="1092"/>
      <c r="H89" s="1092"/>
      <c r="I89" s="1093"/>
      <c r="J89" s="1093"/>
      <c r="K89" s="783"/>
      <c r="L89" s="713"/>
      <c r="M89" s="664"/>
      <c r="N89" s="664"/>
      <c r="O89" s="713"/>
      <c r="P89" s="713"/>
      <c r="Q89" s="713"/>
      <c r="R89" s="713"/>
      <c r="S89" s="713"/>
      <c r="T89" s="713"/>
      <c r="U89" s="713"/>
      <c r="V89" s="713"/>
      <c r="W89" s="713"/>
      <c r="X89" s="713"/>
      <c r="Y89" s="713"/>
      <c r="Z89" s="713"/>
    </row>
    <row r="90" spans="1:26">
      <c r="A90" s="4030"/>
      <c r="B90" s="4026"/>
      <c r="C90" s="4027"/>
      <c r="D90" s="4028" t="s">
        <v>2464</v>
      </c>
      <c r="E90" s="4029">
        <f>E27</f>
        <v>0</v>
      </c>
      <c r="F90" s="4028" t="e">
        <f>IF(AND('Personalmenge 113c'!D82="Bestandsschutz",Ergebnis!E27&gt;'Personalmenge 113c'!F75),"Bestandsschutz","Richtwert § 113c SGB XI")</f>
        <v>#VALUE!</v>
      </c>
      <c r="G90" s="1092"/>
      <c r="H90" s="1092"/>
      <c r="I90" s="1093"/>
      <c r="J90" s="1093"/>
      <c r="K90" s="783"/>
      <c r="L90" s="713"/>
      <c r="M90" s="664"/>
      <c r="N90" s="664"/>
      <c r="O90" s="713"/>
      <c r="P90" s="713"/>
      <c r="Q90" s="713"/>
      <c r="R90" s="713"/>
      <c r="S90" s="713"/>
      <c r="T90" s="713"/>
      <c r="U90" s="713"/>
      <c r="V90" s="713"/>
      <c r="W90" s="713"/>
      <c r="X90" s="713"/>
      <c r="Y90" s="713"/>
      <c r="Z90" s="713"/>
    </row>
    <row r="91" spans="1:26">
      <c r="A91" s="1094"/>
      <c r="B91" s="1095"/>
      <c r="C91" s="1095"/>
      <c r="D91" s="1095"/>
      <c r="E91" s="1095"/>
      <c r="F91" s="1095"/>
      <c r="G91" s="1096"/>
      <c r="H91" s="1097"/>
      <c r="I91" s="1093"/>
      <c r="J91" s="1093"/>
      <c r="K91" s="726"/>
      <c r="L91" s="726"/>
      <c r="M91" s="664"/>
      <c r="N91" s="664"/>
      <c r="O91" s="713"/>
      <c r="P91" s="713"/>
      <c r="Q91" s="713"/>
      <c r="R91" s="713"/>
      <c r="S91" s="713"/>
      <c r="T91" s="713"/>
      <c r="U91" s="713"/>
      <c r="V91" s="713"/>
      <c r="W91" s="713"/>
      <c r="X91" s="713"/>
      <c r="Y91" s="713"/>
      <c r="Z91" s="713"/>
    </row>
    <row r="92" spans="1:26" hidden="1" outlineLevel="1">
      <c r="A92" s="1098"/>
      <c r="B92" s="1099"/>
      <c r="C92" s="1099"/>
      <c r="D92" s="1099"/>
      <c r="E92" s="1099"/>
      <c r="F92" s="1099"/>
      <c r="G92" s="1100"/>
      <c r="H92" s="1097"/>
      <c r="I92" s="1093"/>
      <c r="J92" s="1093"/>
      <c r="K92" s="726"/>
      <c r="L92" s="726"/>
      <c r="M92" s="664"/>
      <c r="N92" s="664"/>
      <c r="O92" s="713"/>
      <c r="P92" s="713"/>
      <c r="Q92" s="713"/>
      <c r="R92" s="713"/>
      <c r="S92" s="713"/>
      <c r="T92" s="713"/>
      <c r="U92" s="713"/>
      <c r="V92" s="713"/>
      <c r="W92" s="713"/>
      <c r="X92" s="713"/>
      <c r="Y92" s="713"/>
      <c r="Z92" s="713"/>
    </row>
    <row r="93" spans="1:26" hidden="1" outlineLevel="1">
      <c r="A93" s="1101"/>
      <c r="B93" s="1102" t="s">
        <v>1400</v>
      </c>
      <c r="C93" s="1103"/>
      <c r="D93" s="1103"/>
      <c r="E93" s="1103"/>
      <c r="F93" s="1103"/>
      <c r="G93" s="1104"/>
      <c r="H93" s="1093"/>
      <c r="I93" s="1093"/>
      <c r="J93" s="1093"/>
      <c r="K93" s="726"/>
      <c r="L93" s="726"/>
      <c r="M93" s="4471"/>
      <c r="N93" s="4471"/>
      <c r="O93" s="4471"/>
      <c r="P93" s="4468"/>
      <c r="Q93" s="4468"/>
      <c r="R93" s="713"/>
      <c r="S93" s="713"/>
      <c r="T93" s="713"/>
      <c r="U93" s="713"/>
      <c r="V93" s="713"/>
      <c r="W93" s="713"/>
      <c r="X93" s="713"/>
      <c r="Y93" s="713"/>
      <c r="Z93" s="713"/>
    </row>
    <row r="94" spans="1:26" hidden="1" outlineLevel="1">
      <c r="A94" s="1101"/>
      <c r="B94" s="1103" t="s">
        <v>1401</v>
      </c>
      <c r="C94" s="1103"/>
      <c r="D94" s="1103"/>
      <c r="E94" s="1103"/>
      <c r="F94" s="1103"/>
      <c r="G94" s="1104"/>
      <c r="H94" s="1093"/>
      <c r="I94" s="1093"/>
      <c r="J94" s="1093"/>
      <c r="K94" s="726"/>
      <c r="L94" s="726"/>
      <c r="M94" s="4471"/>
      <c r="N94" s="4471"/>
      <c r="O94" s="4471"/>
      <c r="P94" s="4468"/>
      <c r="Q94" s="4468"/>
      <c r="R94" s="713"/>
      <c r="S94" s="713"/>
      <c r="T94" s="713"/>
      <c r="U94" s="713"/>
      <c r="V94" s="713"/>
      <c r="W94" s="713"/>
      <c r="X94" s="713"/>
      <c r="Y94" s="713"/>
      <c r="Z94" s="713"/>
    </row>
    <row r="95" spans="1:26" hidden="1" outlineLevel="1">
      <c r="A95" s="1101"/>
      <c r="B95" s="1103" t="s">
        <v>1402</v>
      </c>
      <c r="C95" s="1103"/>
      <c r="D95" s="1103"/>
      <c r="E95" s="1103"/>
      <c r="F95" s="1103"/>
      <c r="G95" s="1104"/>
      <c r="H95" s="1093"/>
      <c r="I95" s="1093"/>
      <c r="J95" s="1093"/>
      <c r="K95" s="726"/>
      <c r="L95" s="726"/>
      <c r="M95" s="1105"/>
      <c r="N95" s="800"/>
      <c r="O95" s="1106"/>
      <c r="P95" s="1107"/>
      <c r="Q95" s="1105"/>
      <c r="R95" s="713"/>
      <c r="S95" s="713"/>
      <c r="T95" s="713"/>
      <c r="U95" s="713"/>
      <c r="V95" s="713"/>
      <c r="W95" s="713"/>
      <c r="X95" s="713"/>
      <c r="Y95" s="713"/>
      <c r="Z95" s="713"/>
    </row>
    <row r="96" spans="1:26" hidden="1" outlineLevel="1">
      <c r="A96" s="1101"/>
      <c r="B96" s="1103"/>
      <c r="C96" s="1103" t="s">
        <v>1403</v>
      </c>
      <c r="D96" s="1103"/>
      <c r="E96" s="1103"/>
      <c r="F96" s="1103"/>
      <c r="G96" s="1104"/>
      <c r="H96" s="1093"/>
      <c r="I96" s="1093"/>
      <c r="J96" s="1093"/>
      <c r="K96" s="726"/>
      <c r="L96" s="726"/>
      <c r="M96" s="1105"/>
      <c r="N96" s="1108"/>
      <c r="O96" s="1109"/>
      <c r="P96" s="1110"/>
      <c r="Q96" s="1105"/>
      <c r="R96" s="713"/>
      <c r="S96" s="713"/>
      <c r="T96" s="665"/>
      <c r="U96" s="665"/>
      <c r="V96" s="665"/>
      <c r="W96" s="665"/>
      <c r="X96" s="665"/>
      <c r="Y96" s="665"/>
      <c r="Z96" s="665"/>
    </row>
    <row r="97" spans="1:26" hidden="1" outlineLevel="1">
      <c r="A97" s="1101"/>
      <c r="B97" s="1103"/>
      <c r="C97" s="1111">
        <v>42370</v>
      </c>
      <c r="D97" s="1111">
        <v>42735</v>
      </c>
      <c r="E97" s="1112">
        <v>0</v>
      </c>
      <c r="F97" s="1103"/>
      <c r="G97" s="1104"/>
      <c r="H97" s="1093"/>
      <c r="I97" s="1093"/>
      <c r="J97" s="1093"/>
      <c r="K97" s="726"/>
      <c r="L97" s="726"/>
      <c r="M97" s="1105"/>
      <c r="N97" s="1113"/>
      <c r="O97" s="1109"/>
      <c r="P97" s="1110"/>
      <c r="Q97" s="1105"/>
      <c r="R97" s="713"/>
      <c r="S97" s="713"/>
      <c r="T97" s="713"/>
      <c r="U97" s="713"/>
      <c r="V97" s="713"/>
      <c r="W97" s="713"/>
      <c r="X97" s="713"/>
      <c r="Y97" s="713"/>
      <c r="Z97" s="713"/>
    </row>
    <row r="98" spans="1:26" hidden="1" outlineLevel="1">
      <c r="A98" s="1101"/>
      <c r="B98" s="1103"/>
      <c r="C98" s="1111">
        <v>42736</v>
      </c>
      <c r="D98" s="1111">
        <v>43100</v>
      </c>
      <c r="E98" s="1112">
        <v>0</v>
      </c>
      <c r="F98" s="1103"/>
      <c r="G98" s="1104"/>
      <c r="H98" s="1093"/>
      <c r="I98" s="1093"/>
      <c r="J98" s="1093"/>
      <c r="K98" s="831">
        <f>E103+E104+E105</f>
        <v>0</v>
      </c>
      <c r="L98" s="726"/>
      <c r="M98" s="1105"/>
      <c r="N98" s="1108"/>
      <c r="O98" s="1114"/>
      <c r="P98" s="1110"/>
      <c r="Q98" s="1105"/>
      <c r="R98" s="713"/>
      <c r="S98" s="713"/>
      <c r="T98" s="713"/>
      <c r="U98" s="713"/>
      <c r="V98" s="713"/>
      <c r="W98" s="713"/>
      <c r="X98" s="713"/>
      <c r="Y98" s="713"/>
      <c r="Z98" s="713"/>
    </row>
    <row r="99" spans="1:26" hidden="1" outlineLevel="1">
      <c r="A99" s="1101"/>
      <c r="B99" s="1103"/>
      <c r="C99" s="1111">
        <v>43101</v>
      </c>
      <c r="D99" s="1111">
        <v>43465</v>
      </c>
      <c r="E99" s="1112">
        <v>0</v>
      </c>
      <c r="F99" s="1103"/>
      <c r="G99" s="1104"/>
      <c r="H99" s="1093"/>
      <c r="I99" s="1093"/>
      <c r="J99" s="1093"/>
      <c r="K99" s="726"/>
      <c r="L99" s="726"/>
      <c r="M99" s="1105"/>
      <c r="N99" s="1108"/>
      <c r="O99" s="1114"/>
      <c r="P99" s="1110"/>
      <c r="Q99" s="1105"/>
      <c r="R99" s="713"/>
      <c r="S99" s="713"/>
      <c r="T99" s="713"/>
      <c r="U99" s="713"/>
      <c r="V99" s="713"/>
      <c r="W99" s="713"/>
      <c r="X99" s="713"/>
      <c r="Y99" s="713"/>
      <c r="Z99" s="713"/>
    </row>
    <row r="100" spans="1:26" hidden="1" outlineLevel="1">
      <c r="A100" s="1101"/>
      <c r="B100" s="1103"/>
      <c r="C100" s="1111"/>
      <c r="D100" s="1111"/>
      <c r="E100" s="1112"/>
      <c r="F100" s="1103"/>
      <c r="G100" s="1104"/>
      <c r="H100" s="1093"/>
      <c r="I100" s="1093"/>
      <c r="J100" s="1093"/>
      <c r="K100" s="726"/>
      <c r="L100" s="726"/>
      <c r="M100" s="1105"/>
      <c r="N100" s="1108"/>
      <c r="O100" s="1114"/>
      <c r="P100" s="1110"/>
      <c r="Q100" s="1105"/>
      <c r="R100" s="713"/>
      <c r="S100" s="713"/>
      <c r="T100" s="713"/>
      <c r="U100" s="713"/>
      <c r="V100" s="713"/>
      <c r="W100" s="713"/>
      <c r="X100" s="713"/>
      <c r="Y100" s="713"/>
      <c r="Z100" s="713"/>
    </row>
    <row r="101" spans="1:26" ht="13.5" hidden="1" outlineLevel="1" thickBot="1">
      <c r="A101" s="1101"/>
      <c r="B101" s="1103"/>
      <c r="C101" s="1111"/>
      <c r="D101" s="1111"/>
      <c r="E101" s="1115"/>
      <c r="F101" s="1115">
        <f>SUM(E97:E101)</f>
        <v>0</v>
      </c>
      <c r="G101" s="1104"/>
      <c r="H101" s="1093"/>
      <c r="I101" s="1093"/>
      <c r="J101" s="1093"/>
      <c r="K101" s="726"/>
      <c r="L101" s="726"/>
      <c r="M101" s="871"/>
      <c r="N101" s="1116"/>
      <c r="O101" s="1114"/>
      <c r="P101" s="1110"/>
      <c r="Q101" s="871"/>
      <c r="R101" s="713"/>
      <c r="S101" s="713"/>
      <c r="T101" s="665"/>
      <c r="U101" s="665"/>
      <c r="V101" s="665"/>
      <c r="W101" s="665"/>
      <c r="X101" s="665"/>
      <c r="Y101" s="665"/>
      <c r="Z101" s="665"/>
    </row>
    <row r="102" spans="1:26" hidden="1" outlineLevel="1">
      <c r="A102" s="1101"/>
      <c r="B102" s="1103"/>
      <c r="C102" s="1103"/>
      <c r="D102" s="1103"/>
      <c r="E102" s="1103"/>
      <c r="F102" s="1103"/>
      <c r="G102" s="1104"/>
      <c r="H102" s="1093"/>
      <c r="I102" s="1093"/>
      <c r="J102" s="1093"/>
      <c r="K102" s="726"/>
      <c r="L102" s="726"/>
      <c r="M102" s="871"/>
      <c r="N102" s="1108"/>
      <c r="O102" s="1114"/>
      <c r="P102" s="1110"/>
      <c r="Q102" s="871"/>
      <c r="R102" s="713"/>
      <c r="S102" s="713"/>
      <c r="T102" s="713"/>
      <c r="U102" s="713"/>
      <c r="V102" s="713"/>
      <c r="W102" s="713"/>
      <c r="X102" s="713"/>
      <c r="Y102" s="713"/>
      <c r="Z102" s="713"/>
    </row>
    <row r="103" spans="1:26" hidden="1" outlineLevel="1">
      <c r="A103" s="1101"/>
      <c r="B103" s="1103"/>
      <c r="C103" s="1103" t="s">
        <v>1404</v>
      </c>
      <c r="D103" s="1103"/>
      <c r="E103" s="1103"/>
      <c r="F103" s="1103"/>
      <c r="G103" s="1104"/>
      <c r="H103" s="1093"/>
      <c r="I103" s="1093"/>
      <c r="J103" s="1093"/>
      <c r="K103" s="726"/>
      <c r="L103" s="726"/>
      <c r="M103" s="871"/>
      <c r="N103" s="1108"/>
      <c r="O103" s="1114"/>
      <c r="P103" s="1110"/>
      <c r="Q103" s="871"/>
      <c r="R103" s="713"/>
      <c r="S103" s="713"/>
      <c r="T103" s="665"/>
      <c r="U103" s="665"/>
      <c r="V103" s="665"/>
      <c r="W103" s="665"/>
      <c r="X103" s="665"/>
      <c r="Y103" s="665"/>
      <c r="Z103" s="665"/>
    </row>
    <row r="104" spans="1:26" hidden="1" outlineLevel="1">
      <c r="A104" s="1101"/>
      <c r="B104" s="1103"/>
      <c r="C104" s="1111">
        <v>42370</v>
      </c>
      <c r="D104" s="1111">
        <v>42551</v>
      </c>
      <c r="E104" s="1112">
        <v>0</v>
      </c>
      <c r="F104" s="1103"/>
      <c r="G104" s="1104"/>
      <c r="H104" s="1093"/>
      <c r="I104" s="1093"/>
      <c r="J104" s="1093"/>
      <c r="K104" s="726"/>
      <c r="L104" s="726"/>
      <c r="M104" s="4469"/>
      <c r="N104" s="4469"/>
      <c r="O104" s="1114"/>
      <c r="P104" s="1110"/>
      <c r="Q104" s="871"/>
      <c r="R104" s="713"/>
      <c r="S104" s="665"/>
      <c r="T104" s="665"/>
      <c r="U104" s="665"/>
      <c r="V104" s="665"/>
      <c r="W104" s="665"/>
      <c r="X104" s="665"/>
      <c r="Y104" s="665"/>
      <c r="Z104" s="665"/>
    </row>
    <row r="105" spans="1:26" hidden="1" outlineLevel="1">
      <c r="A105" s="1101"/>
      <c r="B105" s="1103"/>
      <c r="C105" s="1111">
        <v>42552</v>
      </c>
      <c r="D105" s="1111">
        <v>42735</v>
      </c>
      <c r="E105" s="1112">
        <v>0</v>
      </c>
      <c r="F105" s="1103"/>
      <c r="G105" s="1104"/>
      <c r="H105" s="1117"/>
      <c r="I105" s="1118"/>
      <c r="J105" s="1093"/>
      <c r="K105" s="869"/>
      <c r="L105" s="665"/>
      <c r="M105" s="871"/>
      <c r="N105" s="1108"/>
      <c r="O105" s="1114"/>
      <c r="P105" s="1110"/>
      <c r="Q105" s="871"/>
      <c r="R105" s="665"/>
      <c r="S105" s="713"/>
      <c r="T105" s="665"/>
      <c r="U105" s="665"/>
      <c r="V105" s="665"/>
      <c r="W105" s="665"/>
      <c r="X105" s="665"/>
      <c r="Y105" s="665"/>
      <c r="Z105" s="665"/>
    </row>
    <row r="106" spans="1:26" hidden="1" outlineLevel="1">
      <c r="A106" s="1101"/>
      <c r="B106" s="1103"/>
      <c r="C106" s="1111">
        <v>42736</v>
      </c>
      <c r="D106" s="1111">
        <v>43100</v>
      </c>
      <c r="E106" s="1112">
        <v>0</v>
      </c>
      <c r="F106" s="1103"/>
      <c r="G106" s="1104"/>
      <c r="H106" s="1117"/>
      <c r="I106" s="1118"/>
      <c r="J106" s="1093"/>
      <c r="K106" s="726"/>
      <c r="L106" s="726"/>
      <c r="M106" s="871"/>
      <c r="N106" s="1108"/>
      <c r="O106" s="1109"/>
      <c r="P106" s="1110"/>
      <c r="Q106" s="871"/>
      <c r="R106" s="713"/>
      <c r="S106" s="713"/>
      <c r="T106" s="713"/>
      <c r="U106" s="713"/>
      <c r="V106" s="713"/>
      <c r="W106" s="713"/>
      <c r="X106" s="713"/>
      <c r="Y106" s="713"/>
      <c r="Z106" s="713"/>
    </row>
    <row r="107" spans="1:26" hidden="1" outlineLevel="1">
      <c r="A107" s="1101"/>
      <c r="B107" s="1103"/>
      <c r="C107" s="1111">
        <v>43101</v>
      </c>
      <c r="D107" s="1111">
        <v>43465</v>
      </c>
      <c r="E107" s="1112">
        <v>0</v>
      </c>
      <c r="F107" s="1103"/>
      <c r="G107" s="1104"/>
      <c r="H107" s="1117"/>
      <c r="I107" s="1118"/>
      <c r="J107" s="1093"/>
      <c r="K107" s="726"/>
      <c r="L107" s="726"/>
      <c r="M107" s="1105"/>
      <c r="N107" s="1113"/>
      <c r="O107" s="1109"/>
      <c r="P107" s="1110"/>
      <c r="Q107" s="1105"/>
      <c r="R107" s="713"/>
      <c r="S107" s="713"/>
      <c r="T107" s="665"/>
      <c r="U107" s="665"/>
      <c r="V107" s="665"/>
      <c r="W107" s="665"/>
      <c r="X107" s="665"/>
      <c r="Y107" s="665"/>
      <c r="Z107" s="665"/>
    </row>
    <row r="108" spans="1:26" ht="13.5" hidden="1" outlineLevel="1" thickBot="1">
      <c r="A108" s="1101"/>
      <c r="B108" s="1103"/>
      <c r="C108" s="1111"/>
      <c r="D108" s="1111"/>
      <c r="E108" s="1119"/>
      <c r="F108" s="1115">
        <f>SUM(E104:E108)</f>
        <v>0</v>
      </c>
      <c r="G108" s="1104"/>
      <c r="H108" s="1117"/>
      <c r="I108" s="1118"/>
      <c r="J108" s="1093"/>
      <c r="K108" s="726"/>
      <c r="L108" s="726"/>
      <c r="M108" s="871"/>
      <c r="N108" s="1108"/>
      <c r="O108" s="1109"/>
      <c r="P108" s="1110"/>
      <c r="Q108" s="871"/>
      <c r="R108" s="713"/>
      <c r="S108" s="713"/>
      <c r="T108" s="665"/>
      <c r="U108" s="665"/>
      <c r="V108" s="665"/>
      <c r="W108" s="665"/>
      <c r="X108" s="665"/>
      <c r="Y108" s="665"/>
      <c r="Z108" s="665"/>
    </row>
    <row r="109" spans="1:26" hidden="1" outlineLevel="1">
      <c r="A109" s="1101"/>
      <c r="B109" s="1103"/>
      <c r="C109" s="1103"/>
      <c r="D109" s="1103"/>
      <c r="E109" s="1103"/>
      <c r="F109" s="1103"/>
      <c r="G109" s="1104"/>
      <c r="H109" s="1117"/>
      <c r="I109" s="1118"/>
      <c r="J109" s="1093"/>
      <c r="K109" s="726"/>
      <c r="L109" s="726"/>
      <c r="M109" s="871"/>
      <c r="N109" s="871"/>
      <c r="O109" s="871"/>
      <c r="P109" s="871"/>
      <c r="Q109" s="871"/>
      <c r="R109" s="713"/>
      <c r="S109" s="665"/>
      <c r="T109" s="665"/>
      <c r="U109" s="665"/>
      <c r="V109" s="665"/>
      <c r="W109" s="665"/>
      <c r="X109" s="665"/>
      <c r="Y109" s="665"/>
      <c r="Z109" s="665"/>
    </row>
    <row r="110" spans="1:26" ht="13.5" hidden="1" outlineLevel="1" thickBot="1">
      <c r="A110" s="1101"/>
      <c r="B110" s="1103" t="s">
        <v>1405</v>
      </c>
      <c r="C110" s="1103"/>
      <c r="D110" s="1103"/>
      <c r="E110" s="1103"/>
      <c r="F110" s="1120">
        <f>F101-F108</f>
        <v>0</v>
      </c>
      <c r="G110" s="1104"/>
      <c r="H110" s="1117"/>
      <c r="I110" s="1118"/>
      <c r="J110" s="1093"/>
      <c r="K110" s="726"/>
      <c r="L110" s="726"/>
      <c r="M110" s="871"/>
      <c r="N110" s="871"/>
      <c r="O110" s="871"/>
      <c r="P110" s="1121"/>
      <c r="Q110" s="871"/>
      <c r="R110" s="665"/>
      <c r="S110" s="713"/>
      <c r="T110" s="665"/>
      <c r="U110" s="665"/>
      <c r="V110" s="665"/>
      <c r="W110" s="665"/>
      <c r="X110" s="665"/>
      <c r="Y110" s="665"/>
      <c r="Z110" s="665"/>
    </row>
    <row r="111" spans="1:26" ht="13.5" hidden="1" outlineLevel="1" thickTop="1">
      <c r="A111" s="1101"/>
      <c r="B111" s="1103"/>
      <c r="C111" s="1103"/>
      <c r="D111" s="1103"/>
      <c r="E111" s="1103"/>
      <c r="F111" s="1122" t="e">
        <f>F110/Berechnungstage</f>
        <v>#VALUE!</v>
      </c>
      <c r="G111" s="1104"/>
      <c r="H111" s="1117"/>
      <c r="I111" s="1118"/>
      <c r="J111" s="1093"/>
      <c r="K111" s="726"/>
      <c r="L111" s="726"/>
      <c r="M111" s="871"/>
      <c r="N111" s="906"/>
      <c r="O111" s="1123"/>
      <c r="P111" s="1123"/>
      <c r="Q111" s="871"/>
      <c r="R111" s="713"/>
      <c r="S111" s="665"/>
      <c r="T111" s="665"/>
      <c r="U111" s="665"/>
      <c r="V111" s="665"/>
      <c r="W111" s="665"/>
      <c r="X111" s="665"/>
      <c r="Y111" s="665"/>
      <c r="Z111" s="665"/>
    </row>
    <row r="112" spans="1:26" ht="13.5" hidden="1" outlineLevel="1" thickBot="1">
      <c r="A112" s="1124"/>
      <c r="B112" s="1125"/>
      <c r="C112" s="1125"/>
      <c r="D112" s="1125"/>
      <c r="E112" s="1125"/>
      <c r="F112" s="1126"/>
      <c r="G112" s="1127"/>
      <c r="H112" s="1093"/>
      <c r="I112" s="1128"/>
      <c r="J112" s="1093"/>
      <c r="K112" s="726"/>
      <c r="L112" s="726"/>
      <c r="M112" s="871"/>
      <c r="N112" s="871"/>
      <c r="O112" s="1123"/>
      <c r="P112" s="1123"/>
      <c r="Q112" s="871"/>
      <c r="R112" s="665"/>
      <c r="S112" s="665"/>
      <c r="T112" s="665"/>
      <c r="U112" s="665"/>
      <c r="V112" s="665"/>
      <c r="W112" s="665"/>
      <c r="X112" s="665"/>
      <c r="Y112" s="665"/>
      <c r="Z112" s="665"/>
    </row>
    <row r="113" spans="1:26" collapsed="1">
      <c r="A113" s="1129"/>
      <c r="B113" s="1130"/>
      <c r="C113" s="1131"/>
      <c r="D113" s="1132"/>
      <c r="E113" s="1133"/>
      <c r="F113" s="1134"/>
      <c r="G113" s="1135"/>
      <c r="H113" s="1093"/>
      <c r="I113" s="1128"/>
      <c r="J113" s="1093"/>
      <c r="K113" s="726"/>
      <c r="L113" s="726"/>
      <c r="M113" s="871"/>
      <c r="N113" s="906"/>
      <c r="O113" s="1123"/>
      <c r="P113" s="1123"/>
      <c r="Q113" s="871"/>
      <c r="R113" s="665"/>
      <c r="S113" s="665"/>
      <c r="T113" s="665"/>
      <c r="U113" s="665"/>
      <c r="V113" s="665"/>
      <c r="W113" s="665"/>
      <c r="X113" s="665"/>
      <c r="Y113" s="665"/>
      <c r="Z113" s="665"/>
    </row>
    <row r="114" spans="1:26">
      <c r="A114" s="1129"/>
      <c r="B114" s="1130"/>
      <c r="C114" s="1131"/>
      <c r="D114" s="1132"/>
      <c r="E114" s="1133"/>
      <c r="F114" s="1134"/>
      <c r="G114" s="1135"/>
      <c r="H114" s="1093"/>
      <c r="I114" s="1128"/>
      <c r="J114" s="1093"/>
      <c r="K114" s="726"/>
      <c r="L114" s="726"/>
      <c r="M114" s="871"/>
      <c r="N114" s="871"/>
      <c r="O114" s="1123"/>
      <c r="P114" s="1123"/>
      <c r="Q114" s="871"/>
      <c r="R114" s="665"/>
      <c r="S114" s="713"/>
      <c r="T114" s="665"/>
      <c r="U114" s="665"/>
      <c r="V114" s="665"/>
      <c r="W114" s="665"/>
      <c r="X114" s="665"/>
      <c r="Y114" s="665"/>
      <c r="Z114" s="665"/>
    </row>
    <row r="115" spans="1:26">
      <c r="A115" s="1129"/>
      <c r="B115" s="1136"/>
      <c r="C115" s="1131"/>
      <c r="D115" s="1137"/>
      <c r="E115" s="1138"/>
      <c r="F115" s="871"/>
      <c r="G115" s="1139"/>
      <c r="H115" s="1093"/>
      <c r="I115" s="1128"/>
      <c r="J115" s="1093"/>
      <c r="K115" s="726"/>
      <c r="L115" s="726"/>
      <c r="M115" s="871"/>
      <c r="N115" s="906"/>
      <c r="O115" s="1123"/>
      <c r="P115" s="1123"/>
      <c r="Q115" s="871"/>
      <c r="R115" s="713"/>
      <c r="S115" s="665"/>
      <c r="T115" s="665"/>
      <c r="U115" s="665"/>
      <c r="V115" s="665"/>
      <c r="W115" s="665"/>
      <c r="X115" s="665"/>
      <c r="Y115" s="665"/>
      <c r="Z115" s="665"/>
    </row>
    <row r="116" spans="1:26">
      <c r="A116" s="1129"/>
      <c r="B116" s="1136"/>
      <c r="C116" s="1131"/>
      <c r="D116" s="1137"/>
      <c r="E116" s="1138"/>
      <c r="F116" s="871"/>
      <c r="G116" s="1139"/>
      <c r="H116" s="1093"/>
      <c r="I116" s="1128"/>
      <c r="J116" s="1093"/>
      <c r="K116" s="726"/>
      <c r="L116" s="726"/>
      <c r="M116" s="871"/>
      <c r="N116" s="871"/>
      <c r="O116" s="1123"/>
      <c r="P116" s="1123"/>
      <c r="Q116" s="871"/>
      <c r="R116" s="665"/>
      <c r="S116" s="665"/>
      <c r="T116" s="665"/>
      <c r="U116" s="665"/>
      <c r="V116" s="665"/>
      <c r="W116" s="665"/>
      <c r="X116" s="665"/>
      <c r="Y116" s="665"/>
      <c r="Z116" s="665"/>
    </row>
    <row r="117" spans="1:26">
      <c r="A117" s="1128"/>
      <c r="B117" s="1140"/>
      <c r="C117" s="871"/>
      <c r="D117" s="871"/>
      <c r="E117" s="1137"/>
      <c r="F117" s="1138"/>
      <c r="G117" s="871"/>
      <c r="H117" s="1093"/>
      <c r="I117" s="1093"/>
      <c r="J117" s="1093"/>
      <c r="K117" s="726"/>
      <c r="L117" s="726"/>
      <c r="M117" s="871"/>
      <c r="N117" s="906"/>
      <c r="O117" s="1123"/>
      <c r="P117" s="1123"/>
      <c r="Q117" s="1141"/>
      <c r="R117" s="665"/>
      <c r="S117" s="665"/>
      <c r="T117" s="665"/>
      <c r="U117" s="665"/>
      <c r="V117" s="665"/>
      <c r="W117" s="665"/>
      <c r="X117" s="665"/>
      <c r="Y117" s="665"/>
      <c r="Z117" s="665"/>
    </row>
    <row r="118" spans="1:26">
      <c r="A118" s="1093"/>
      <c r="B118" s="1093"/>
      <c r="C118" s="1093"/>
      <c r="D118" s="1093"/>
      <c r="E118" s="1142"/>
      <c r="F118" s="1093"/>
      <c r="G118" s="1093"/>
      <c r="H118" s="1093"/>
      <c r="I118" s="1093"/>
      <c r="J118" s="1093"/>
      <c r="K118" s="726"/>
      <c r="L118" s="726"/>
      <c r="M118" s="871"/>
      <c r="N118" s="871"/>
      <c r="O118" s="1123"/>
      <c r="P118" s="1123"/>
      <c r="Q118" s="871"/>
      <c r="R118" s="665"/>
      <c r="S118" s="665"/>
      <c r="T118" s="665"/>
      <c r="U118" s="665"/>
      <c r="V118" s="665"/>
      <c r="W118" s="665"/>
      <c r="X118" s="665"/>
      <c r="Y118" s="665"/>
      <c r="Z118" s="665"/>
    </row>
    <row r="119" spans="1:26">
      <c r="A119" s="1093"/>
      <c r="B119" s="1093"/>
      <c r="C119" s="1093"/>
      <c r="D119" s="1093"/>
      <c r="E119" s="1142"/>
      <c r="F119" s="1093"/>
      <c r="G119" s="1093"/>
      <c r="H119" s="1093"/>
      <c r="I119" s="1093"/>
      <c r="J119" s="1093"/>
      <c r="K119" s="726"/>
      <c r="L119" s="726"/>
      <c r="M119" s="871"/>
      <c r="N119" s="906"/>
      <c r="O119" s="1123"/>
      <c r="P119" s="1123"/>
      <c r="Q119" s="871"/>
      <c r="R119" s="665"/>
      <c r="S119" s="665"/>
      <c r="T119" s="665"/>
      <c r="U119" s="665"/>
      <c r="V119" s="665"/>
      <c r="W119" s="665"/>
      <c r="X119" s="665"/>
      <c r="Y119" s="665"/>
      <c r="Z119" s="665"/>
    </row>
    <row r="120" spans="1:26">
      <c r="A120" s="1093"/>
      <c r="B120" s="1093"/>
      <c r="C120" s="1093"/>
      <c r="D120" s="1093"/>
      <c r="E120" s="1142"/>
      <c r="F120" s="1093"/>
      <c r="G120" s="1093"/>
      <c r="H120" s="1093"/>
      <c r="I120" s="1093"/>
      <c r="J120" s="1093"/>
      <c r="K120" s="726"/>
      <c r="L120" s="726"/>
      <c r="M120" s="871"/>
      <c r="N120" s="871"/>
      <c r="O120" s="1123"/>
      <c r="P120" s="1123"/>
      <c r="Q120" s="871"/>
      <c r="R120" s="665"/>
      <c r="S120" s="665"/>
      <c r="T120" s="665"/>
      <c r="U120" s="665"/>
      <c r="V120" s="665"/>
      <c r="W120" s="665"/>
      <c r="X120" s="665"/>
      <c r="Y120" s="665"/>
      <c r="Z120" s="665"/>
    </row>
    <row r="121" spans="1:26">
      <c r="A121" s="1093"/>
      <c r="B121" s="1093"/>
      <c r="C121" s="1093"/>
      <c r="D121" s="1093"/>
      <c r="E121" s="1142"/>
      <c r="F121" s="1093"/>
      <c r="G121" s="1093"/>
      <c r="H121" s="1093"/>
      <c r="I121" s="1093"/>
      <c r="J121" s="1093"/>
      <c r="K121" s="726"/>
      <c r="L121" s="726"/>
      <c r="M121" s="871"/>
      <c r="N121" s="906"/>
      <c r="O121" s="1123"/>
      <c r="P121" s="1123"/>
      <c r="Q121" s="871"/>
      <c r="R121" s="665"/>
      <c r="S121" s="665"/>
      <c r="T121" s="665"/>
      <c r="U121" s="665"/>
      <c r="V121" s="665"/>
      <c r="W121" s="665"/>
      <c r="X121" s="665"/>
      <c r="Y121" s="665"/>
      <c r="Z121" s="665"/>
    </row>
    <row r="122" spans="1:26">
      <c r="A122" s="1093"/>
      <c r="B122" s="1093"/>
      <c r="C122" s="1093"/>
      <c r="D122" s="1093"/>
      <c r="E122" s="1142"/>
      <c r="F122" s="1093"/>
      <c r="G122" s="1093"/>
      <c r="H122" s="1093"/>
      <c r="I122" s="1093"/>
      <c r="J122" s="1093"/>
      <c r="K122" s="726"/>
      <c r="L122" s="726"/>
      <c r="M122" s="871"/>
      <c r="N122" s="871"/>
      <c r="O122" s="1123"/>
      <c r="P122" s="1123"/>
      <c r="Q122" s="871"/>
      <c r="R122" s="665"/>
      <c r="S122" s="665"/>
      <c r="T122" s="665"/>
      <c r="U122" s="665"/>
      <c r="V122" s="665"/>
      <c r="W122" s="665"/>
      <c r="X122" s="665"/>
      <c r="Y122" s="665"/>
      <c r="Z122" s="665"/>
    </row>
    <row r="123" spans="1:26">
      <c r="A123" s="1093"/>
      <c r="B123" s="1143"/>
      <c r="C123" s="1143"/>
      <c r="D123" s="1143"/>
      <c r="E123" s="1143"/>
      <c r="F123" s="1143"/>
      <c r="G123" s="1143"/>
      <c r="H123" s="1093"/>
      <c r="I123" s="1093"/>
      <c r="J123" s="1093"/>
      <c r="K123" s="726"/>
      <c r="L123" s="726"/>
      <c r="M123" s="871"/>
      <c r="N123" s="906"/>
      <c r="O123" s="1123"/>
      <c r="P123" s="1123"/>
      <c r="Q123" s="1141"/>
      <c r="R123" s="665"/>
      <c r="S123" s="665"/>
      <c r="T123" s="665"/>
      <c r="U123" s="665"/>
      <c r="V123" s="665"/>
      <c r="W123" s="665"/>
      <c r="X123" s="665"/>
      <c r="Y123" s="665"/>
      <c r="Z123" s="665"/>
    </row>
    <row r="124" spans="1:26">
      <c r="A124" s="1093"/>
      <c r="B124" s="1093"/>
      <c r="C124" s="1093"/>
      <c r="D124" s="1093"/>
      <c r="E124" s="1142"/>
      <c r="F124" s="1093"/>
      <c r="G124" s="1093"/>
      <c r="H124" s="1093"/>
      <c r="I124" s="1093"/>
      <c r="J124" s="1093"/>
      <c r="K124" s="726"/>
      <c r="L124" s="726"/>
      <c r="M124" s="871"/>
      <c r="N124" s="871"/>
      <c r="O124" s="1123"/>
      <c r="P124" s="1123"/>
      <c r="Q124" s="871"/>
      <c r="R124" s="665"/>
      <c r="S124" s="665"/>
      <c r="T124" s="665"/>
      <c r="U124" s="665"/>
      <c r="V124" s="665"/>
      <c r="W124" s="665"/>
      <c r="X124" s="665"/>
      <c r="Y124" s="665"/>
      <c r="Z124" s="665"/>
    </row>
    <row r="125" spans="1:26">
      <c r="A125" s="1144"/>
      <c r="B125" s="1145"/>
      <c r="C125" s="1145"/>
      <c r="D125" s="1145"/>
      <c r="E125" s="1146"/>
      <c r="F125" s="1145"/>
      <c r="G125" s="1145"/>
      <c r="H125" s="1093"/>
      <c r="I125" s="1093"/>
      <c r="J125" s="1093"/>
      <c r="K125" s="726"/>
      <c r="L125" s="726"/>
      <c r="M125" s="4470"/>
      <c r="N125" s="4470"/>
      <c r="O125" s="1123"/>
      <c r="P125" s="1123"/>
      <c r="Q125" s="871"/>
      <c r="R125" s="665"/>
      <c r="S125" s="665"/>
      <c r="T125" s="665"/>
      <c r="U125" s="665"/>
      <c r="V125" s="665"/>
      <c r="W125" s="665"/>
      <c r="X125" s="665"/>
      <c r="Y125" s="665"/>
      <c r="Z125" s="665"/>
    </row>
    <row r="126" spans="1:26" ht="15.75">
      <c r="A126" s="1144"/>
      <c r="B126" s="1145"/>
      <c r="C126" s="1145"/>
      <c r="D126" s="1145"/>
      <c r="E126" s="1146"/>
      <c r="F126" s="1145"/>
      <c r="G126" s="1145"/>
      <c r="H126" s="1093"/>
      <c r="I126" s="1093"/>
      <c r="J126" s="1093"/>
      <c r="K126" s="938"/>
      <c r="L126" s="938"/>
      <c r="M126" s="871"/>
      <c r="N126" s="871"/>
      <c r="O126" s="1123"/>
      <c r="P126" s="1123"/>
      <c r="Q126" s="871"/>
      <c r="R126" s="665"/>
      <c r="S126" s="665"/>
      <c r="T126" s="942"/>
      <c r="U126" s="942"/>
      <c r="V126" s="942"/>
      <c r="W126" s="942"/>
      <c r="X126" s="942"/>
      <c r="Y126" s="942"/>
      <c r="Z126" s="942"/>
    </row>
    <row r="127" spans="1:26" ht="15.75">
      <c r="A127" s="1144"/>
      <c r="B127" s="1145"/>
      <c r="C127" s="1145"/>
      <c r="D127" s="1145"/>
      <c r="E127" s="1146"/>
      <c r="F127" s="1145"/>
      <c r="G127" s="1145"/>
      <c r="H127" s="1093"/>
      <c r="I127" s="1093"/>
      <c r="J127" s="1093"/>
      <c r="K127" s="938"/>
      <c r="L127" s="938"/>
      <c r="M127" s="871"/>
      <c r="N127" s="906"/>
      <c r="O127" s="1123"/>
      <c r="P127" s="1123"/>
      <c r="Q127" s="871"/>
      <c r="R127" s="665"/>
      <c r="S127" s="665"/>
      <c r="T127" s="942"/>
      <c r="U127" s="942"/>
      <c r="V127" s="942"/>
      <c r="W127" s="942"/>
      <c r="X127" s="942"/>
      <c r="Y127" s="942"/>
      <c r="Z127" s="942"/>
    </row>
    <row r="128" spans="1:26" ht="15.75">
      <c r="A128" s="1093"/>
      <c r="B128" s="1093"/>
      <c r="C128" s="1093"/>
      <c r="D128" s="1093"/>
      <c r="E128" s="1142"/>
      <c r="F128" s="1093"/>
      <c r="G128" s="871"/>
      <c r="H128" s="871"/>
      <c r="I128" s="871"/>
      <c r="J128" s="871"/>
      <c r="K128" s="938"/>
      <c r="L128" s="938"/>
      <c r="M128" s="1105"/>
      <c r="N128" s="1147"/>
      <c r="O128" s="1123"/>
      <c r="P128" s="1123"/>
      <c r="Q128" s="1105"/>
      <c r="R128" s="665"/>
      <c r="S128" s="665"/>
      <c r="T128" s="942"/>
      <c r="U128" s="942"/>
      <c r="V128" s="942"/>
      <c r="W128" s="942"/>
      <c r="X128" s="942"/>
      <c r="Y128" s="942"/>
      <c r="Z128" s="942"/>
    </row>
    <row r="129" spans="1:26">
      <c r="A129" s="1093"/>
      <c r="B129" s="1093"/>
      <c r="C129" s="1093"/>
      <c r="D129" s="1093"/>
      <c r="E129" s="1142"/>
      <c r="F129" s="1093"/>
      <c r="G129" s="871"/>
      <c r="H129" s="871"/>
      <c r="I129" s="871"/>
      <c r="J129" s="871"/>
      <c r="K129" s="726"/>
      <c r="L129" s="713"/>
      <c r="M129" s="871"/>
      <c r="N129" s="906"/>
      <c r="O129" s="1123"/>
      <c r="P129" s="1123"/>
      <c r="Q129" s="871"/>
      <c r="R129" s="665"/>
      <c r="S129" s="665"/>
      <c r="T129" s="713"/>
      <c r="U129" s="713"/>
      <c r="V129" s="713"/>
      <c r="W129" s="713"/>
      <c r="X129" s="713"/>
      <c r="Y129" s="713"/>
      <c r="Z129" s="713"/>
    </row>
    <row r="130" spans="1:26" ht="15.75">
      <c r="A130" s="1093"/>
      <c r="B130" s="1093"/>
      <c r="C130" s="1093"/>
      <c r="D130" s="1093"/>
      <c r="E130" s="1142"/>
      <c r="F130" s="1093"/>
      <c r="G130" s="871"/>
      <c r="H130" s="871"/>
      <c r="I130" s="871"/>
      <c r="J130" s="871"/>
      <c r="K130" s="964"/>
      <c r="L130" s="964"/>
      <c r="M130" s="939"/>
      <c r="N130" s="942"/>
      <c r="O130" s="942"/>
      <c r="P130" s="942"/>
      <c r="Q130" s="942"/>
      <c r="R130" s="665"/>
      <c r="S130" s="665"/>
      <c r="T130" s="665"/>
      <c r="U130" s="665"/>
      <c r="V130" s="665"/>
      <c r="W130" s="665"/>
      <c r="X130" s="665"/>
      <c r="Y130" s="665"/>
      <c r="Z130" s="665"/>
    </row>
    <row r="131" spans="1:26">
      <c r="A131" s="1093"/>
      <c r="B131" s="1093"/>
      <c r="C131" s="1093"/>
      <c r="D131" s="1093"/>
      <c r="E131" s="1142"/>
      <c r="F131" s="1093"/>
      <c r="G131" s="871"/>
      <c r="H131" s="871"/>
      <c r="I131" s="871"/>
      <c r="J131" s="871"/>
      <c r="K131" s="783"/>
      <c r="L131" s="713"/>
      <c r="M131" s="664"/>
      <c r="N131" s="664"/>
      <c r="O131" s="713"/>
      <c r="P131" s="713"/>
      <c r="Q131" s="713"/>
      <c r="R131" s="665"/>
      <c r="S131" s="665"/>
      <c r="T131" s="713"/>
      <c r="U131" s="713"/>
      <c r="V131" s="713"/>
      <c r="W131" s="713"/>
      <c r="X131" s="713"/>
      <c r="Y131" s="713"/>
      <c r="Z131" s="713"/>
    </row>
    <row r="132" spans="1:26">
      <c r="A132" s="1093"/>
      <c r="B132" s="1093"/>
      <c r="C132" s="1093"/>
      <c r="D132" s="1093"/>
      <c r="E132" s="1142"/>
      <c r="F132" s="1093"/>
      <c r="G132" s="871"/>
      <c r="H132" s="871"/>
      <c r="I132" s="871"/>
      <c r="J132" s="871"/>
      <c r="K132" s="978"/>
      <c r="L132" s="665"/>
      <c r="M132" s="664"/>
      <c r="N132" s="664"/>
      <c r="O132" s="665"/>
      <c r="P132" s="665"/>
      <c r="Q132" s="665"/>
      <c r="R132" s="665"/>
      <c r="S132" s="665"/>
      <c r="T132" s="665"/>
      <c r="U132" s="665"/>
      <c r="V132" s="665"/>
      <c r="W132" s="665"/>
      <c r="X132" s="665"/>
      <c r="Y132" s="665"/>
      <c r="Z132" s="665"/>
    </row>
    <row r="133" spans="1:26">
      <c r="A133" s="1093"/>
      <c r="B133" s="1093"/>
      <c r="C133" s="1093"/>
      <c r="D133" s="1093"/>
      <c r="E133" s="1142"/>
      <c r="F133" s="1093"/>
      <c r="G133" s="871"/>
      <c r="H133" s="871"/>
      <c r="I133" s="871"/>
      <c r="J133" s="871"/>
      <c r="K133" s="985"/>
      <c r="L133" s="665"/>
      <c r="M133" s="664"/>
      <c r="N133" s="664"/>
      <c r="O133" s="713"/>
      <c r="P133" s="713"/>
      <c r="Q133" s="713"/>
      <c r="R133" s="665"/>
      <c r="S133" s="665"/>
      <c r="T133" s="713"/>
      <c r="U133" s="713"/>
      <c r="V133" s="713"/>
      <c r="W133" s="713"/>
      <c r="X133" s="713"/>
      <c r="Y133" s="713"/>
      <c r="Z133" s="713"/>
    </row>
    <row r="134" spans="1:26" ht="15.75">
      <c r="A134" s="1093"/>
      <c r="B134" s="1093"/>
      <c r="C134" s="1093"/>
      <c r="D134" s="1093"/>
      <c r="E134" s="1142"/>
      <c r="F134" s="1093"/>
      <c r="G134" s="871"/>
      <c r="H134" s="871"/>
      <c r="I134" s="871"/>
      <c r="J134" s="871"/>
      <c r="K134" s="989"/>
      <c r="L134" s="665"/>
      <c r="M134" s="664"/>
      <c r="N134" s="664"/>
      <c r="O134" s="665"/>
      <c r="P134" s="665"/>
      <c r="Q134" s="665"/>
      <c r="R134" s="665"/>
      <c r="S134" s="942"/>
      <c r="T134" s="665"/>
      <c r="U134" s="665"/>
      <c r="V134" s="665"/>
      <c r="W134" s="665"/>
      <c r="X134" s="665"/>
      <c r="Y134" s="665"/>
      <c r="Z134" s="665"/>
    </row>
    <row r="135" spans="1:26" ht="15.75">
      <c r="A135" s="1093"/>
      <c r="B135" s="1093"/>
      <c r="C135" s="1093"/>
      <c r="D135" s="1093"/>
      <c r="E135" s="1142"/>
      <c r="F135" s="1093"/>
      <c r="G135" s="871"/>
      <c r="H135" s="871"/>
      <c r="I135" s="871"/>
      <c r="J135" s="871"/>
      <c r="K135" s="989"/>
      <c r="L135" s="713"/>
      <c r="M135" s="664"/>
      <c r="N135" s="664"/>
      <c r="O135" s="713"/>
      <c r="P135" s="713"/>
      <c r="Q135" s="713"/>
      <c r="R135" s="942"/>
      <c r="S135" s="942"/>
      <c r="T135" s="665"/>
      <c r="U135" s="665"/>
      <c r="V135" s="665"/>
      <c r="W135" s="665"/>
      <c r="X135" s="665"/>
      <c r="Y135" s="665"/>
      <c r="Z135" s="665"/>
    </row>
    <row r="136" spans="1:26" ht="15.75">
      <c r="A136" s="1093"/>
      <c r="B136" s="1093"/>
      <c r="C136" s="1093"/>
      <c r="D136" s="1093"/>
      <c r="E136" s="1142"/>
      <c r="F136" s="1093"/>
      <c r="G136" s="871"/>
      <c r="H136" s="871"/>
      <c r="I136" s="871"/>
      <c r="J136" s="871"/>
      <c r="K136" s="992"/>
      <c r="L136" s="665"/>
      <c r="M136" s="664"/>
      <c r="N136" s="664"/>
      <c r="O136" s="665"/>
      <c r="P136" s="665"/>
      <c r="Q136" s="665"/>
      <c r="R136" s="942"/>
      <c r="S136" s="942"/>
      <c r="T136" s="665"/>
      <c r="U136" s="665"/>
      <c r="V136" s="665"/>
      <c r="W136" s="665"/>
      <c r="X136" s="665"/>
      <c r="Y136" s="665"/>
      <c r="Z136" s="665"/>
    </row>
    <row r="137" spans="1:26" ht="15.75">
      <c r="A137" s="1093"/>
      <c r="B137" s="1093"/>
      <c r="C137" s="1093"/>
      <c r="D137" s="1093"/>
      <c r="E137" s="1142"/>
      <c r="F137" s="1093"/>
      <c r="G137" s="871"/>
      <c r="H137" s="871"/>
      <c r="I137" s="871"/>
      <c r="J137" s="871"/>
      <c r="K137" s="665"/>
      <c r="L137" s="665"/>
      <c r="M137" s="664"/>
      <c r="N137" s="664"/>
      <c r="O137" s="665"/>
      <c r="P137" s="665"/>
      <c r="Q137" s="665"/>
      <c r="R137" s="942"/>
      <c r="S137" s="713"/>
      <c r="T137" s="713"/>
      <c r="U137" s="713"/>
      <c r="V137" s="713"/>
      <c r="W137" s="713"/>
      <c r="X137" s="713"/>
      <c r="Y137" s="713"/>
      <c r="Z137" s="713"/>
    </row>
    <row r="138" spans="1:26">
      <c r="A138" s="1093"/>
      <c r="B138" s="1093"/>
      <c r="C138" s="1093"/>
      <c r="D138" s="1093"/>
      <c r="E138" s="1142"/>
      <c r="F138" s="1093"/>
      <c r="G138" s="871"/>
      <c r="H138" s="871"/>
      <c r="I138" s="871"/>
      <c r="J138" s="871"/>
      <c r="K138" s="665"/>
      <c r="L138" s="665"/>
      <c r="M138" s="664"/>
      <c r="N138" s="664"/>
      <c r="O138" s="665"/>
      <c r="P138" s="665"/>
      <c r="Q138" s="665"/>
      <c r="R138" s="713"/>
      <c r="S138" s="665"/>
      <c r="T138" s="665"/>
      <c r="U138" s="665"/>
      <c r="V138" s="665"/>
      <c r="W138" s="665"/>
      <c r="X138" s="665"/>
      <c r="Y138" s="665"/>
      <c r="Z138" s="665"/>
    </row>
    <row r="139" spans="1:26" ht="15.75">
      <c r="A139" s="1093"/>
      <c r="B139" s="1093"/>
      <c r="C139" s="1093"/>
      <c r="D139" s="1093"/>
      <c r="E139" s="1142"/>
      <c r="F139" s="1093"/>
      <c r="G139" s="871"/>
      <c r="H139" s="871"/>
      <c r="I139" s="871"/>
      <c r="J139" s="871"/>
      <c r="K139" s="942"/>
      <c r="L139" s="942"/>
      <c r="M139" s="664"/>
      <c r="N139" s="664"/>
      <c r="O139" s="713"/>
      <c r="P139" s="713"/>
      <c r="Q139" s="713"/>
      <c r="R139" s="665"/>
      <c r="S139" s="713"/>
      <c r="T139" s="942"/>
      <c r="U139" s="942"/>
      <c r="V139" s="942"/>
      <c r="W139" s="942"/>
      <c r="X139" s="942"/>
      <c r="Y139" s="942"/>
      <c r="Z139" s="942"/>
    </row>
    <row r="140" spans="1:26" ht="15.75">
      <c r="A140" s="1093"/>
      <c r="B140" s="871"/>
      <c r="C140" s="871"/>
      <c r="D140" s="871"/>
      <c r="E140" s="1091"/>
      <c r="F140" s="871"/>
      <c r="G140" s="871"/>
      <c r="H140" s="871"/>
      <c r="I140" s="871"/>
      <c r="J140" s="871"/>
      <c r="K140" s="1012" t="s">
        <v>1057</v>
      </c>
      <c r="L140" s="942"/>
      <c r="M140" s="664"/>
      <c r="N140" s="664"/>
      <c r="O140" s="665"/>
      <c r="P140" s="665"/>
      <c r="Q140" s="665"/>
      <c r="R140" s="713"/>
      <c r="S140" s="665"/>
      <c r="T140" s="942"/>
      <c r="U140" s="942"/>
      <c r="V140" s="942"/>
      <c r="W140" s="942"/>
      <c r="X140" s="942"/>
      <c r="Y140" s="942"/>
      <c r="Z140" s="942"/>
    </row>
    <row r="141" spans="1:26" ht="15.75">
      <c r="A141" s="1093"/>
      <c r="B141" s="871"/>
      <c r="C141" s="871"/>
      <c r="D141" s="871"/>
      <c r="E141" s="1091"/>
      <c r="F141" s="871"/>
      <c r="G141" s="871"/>
      <c r="H141" s="871"/>
      <c r="I141" s="871"/>
      <c r="J141" s="871"/>
      <c r="K141" s="1029"/>
      <c r="L141" s="942"/>
      <c r="M141" s="939"/>
      <c r="N141" s="939"/>
      <c r="O141" s="942"/>
      <c r="P141" s="942"/>
      <c r="Q141" s="942"/>
      <c r="R141" s="665"/>
      <c r="S141" s="713"/>
      <c r="T141" s="942"/>
      <c r="U141" s="942"/>
      <c r="V141" s="942"/>
      <c r="W141" s="942"/>
      <c r="X141" s="942"/>
      <c r="Y141" s="942"/>
      <c r="Z141" s="942"/>
    </row>
    <row r="142" spans="1:26" ht="15.75">
      <c r="A142" s="1093"/>
      <c r="B142" s="871"/>
      <c r="C142" s="871"/>
      <c r="D142" s="871"/>
      <c r="E142" s="1091"/>
      <c r="F142" s="871"/>
      <c r="G142" s="871"/>
      <c r="H142" s="871"/>
      <c r="I142" s="871"/>
      <c r="J142" s="871"/>
      <c r="K142" s="1029"/>
      <c r="L142" s="1012"/>
      <c r="M142" s="939"/>
      <c r="N142" s="939"/>
      <c r="O142" s="942"/>
      <c r="P142" s="942"/>
      <c r="Q142" s="942"/>
      <c r="R142" s="713"/>
      <c r="S142" s="665"/>
      <c r="T142" s="942"/>
      <c r="U142" s="942"/>
      <c r="V142" s="942"/>
      <c r="W142" s="942"/>
      <c r="X142" s="942"/>
      <c r="Y142" s="942"/>
      <c r="Z142" s="942"/>
    </row>
    <row r="143" spans="1:26" ht="15.75">
      <c r="A143" s="1093"/>
      <c r="B143" s="871"/>
      <c r="C143" s="871"/>
      <c r="D143" s="871"/>
      <c r="E143" s="1091"/>
      <c r="F143" s="871"/>
      <c r="G143" s="871"/>
      <c r="H143" s="871"/>
      <c r="I143" s="871"/>
      <c r="J143" s="871"/>
      <c r="K143" s="1029"/>
      <c r="L143" s="1012"/>
      <c r="M143" s="939"/>
      <c r="N143" s="939"/>
      <c r="O143" s="942"/>
      <c r="P143" s="942"/>
      <c r="Q143" s="942"/>
      <c r="R143" s="665"/>
      <c r="S143" s="665"/>
      <c r="T143" s="942"/>
      <c r="U143" s="942"/>
      <c r="V143" s="942"/>
      <c r="W143" s="942"/>
      <c r="X143" s="942"/>
      <c r="Y143" s="942"/>
      <c r="Z143" s="942"/>
    </row>
    <row r="144" spans="1:26" ht="15.75">
      <c r="A144" s="1093"/>
      <c r="B144" s="871"/>
      <c r="C144" s="871"/>
      <c r="D144" s="871"/>
      <c r="E144" s="1091"/>
      <c r="F144" s="871"/>
      <c r="G144" s="871"/>
      <c r="H144" s="871"/>
      <c r="I144" s="871"/>
      <c r="J144" s="871"/>
      <c r="K144" s="665"/>
      <c r="L144" s="665"/>
      <c r="M144" s="939"/>
      <c r="N144" s="939"/>
      <c r="O144" s="942"/>
      <c r="P144" s="942"/>
      <c r="Q144" s="942"/>
      <c r="R144" s="665"/>
      <c r="S144" s="665"/>
      <c r="T144" s="1039"/>
      <c r="U144" s="1039"/>
      <c r="V144" s="1039"/>
      <c r="W144" s="1039"/>
      <c r="X144" s="1039"/>
      <c r="Y144" s="1039"/>
      <c r="Z144" s="1039"/>
    </row>
    <row r="145" spans="1:26" ht="15.75">
      <c r="A145" s="1093"/>
      <c r="B145" s="1093"/>
      <c r="C145" s="1093"/>
      <c r="D145" s="1093"/>
      <c r="E145" s="1142"/>
      <c r="F145" s="1093"/>
      <c r="G145" s="1093"/>
      <c r="H145" s="1093"/>
      <c r="I145" s="871"/>
      <c r="J145" s="871"/>
      <c r="K145" s="665"/>
      <c r="L145" s="665"/>
      <c r="M145" s="939"/>
      <c r="N145" s="939"/>
      <c r="O145" s="942"/>
      <c r="P145" s="942"/>
      <c r="Q145" s="942"/>
      <c r="R145" s="665"/>
      <c r="S145" s="713"/>
      <c r="T145" s="665"/>
      <c r="U145" s="665"/>
      <c r="V145" s="665"/>
      <c r="W145" s="665"/>
      <c r="X145" s="665"/>
      <c r="Y145" s="665"/>
      <c r="Z145" s="665"/>
    </row>
    <row r="146" spans="1:26">
      <c r="A146" s="1093"/>
      <c r="B146" s="1093"/>
      <c r="C146" s="1093"/>
      <c r="D146" s="1093"/>
      <c r="E146" s="1142"/>
      <c r="F146" s="1093"/>
      <c r="G146" s="1093"/>
      <c r="H146" s="1093"/>
      <c r="I146" s="871"/>
      <c r="J146" s="871"/>
      <c r="K146" s="4485"/>
      <c r="L146" s="4485"/>
      <c r="M146" s="1039"/>
      <c r="N146" s="1039"/>
      <c r="O146" s="1039"/>
      <c r="P146" s="1039"/>
      <c r="Q146" s="1039"/>
      <c r="R146" s="713"/>
      <c r="S146" s="665"/>
      <c r="T146" s="1039"/>
      <c r="U146" s="1039"/>
      <c r="V146" s="1039"/>
      <c r="W146" s="1039"/>
      <c r="X146" s="1039"/>
      <c r="Y146" s="1039"/>
      <c r="Z146" s="1039"/>
    </row>
    <row r="147" spans="1:26" ht="15.75">
      <c r="A147" s="1093"/>
      <c r="B147" s="1093"/>
      <c r="C147" s="1093"/>
      <c r="D147" s="1093"/>
      <c r="E147" s="1142"/>
      <c r="F147" s="1093"/>
      <c r="G147" s="1093"/>
      <c r="H147" s="1093"/>
      <c r="I147" s="871"/>
      <c r="J147" s="871"/>
      <c r="K147" s="665"/>
      <c r="L147" s="665"/>
      <c r="M147" s="665"/>
      <c r="N147" s="665"/>
      <c r="O147" s="665"/>
      <c r="P147" s="665"/>
      <c r="Q147" s="665"/>
      <c r="R147" s="665"/>
      <c r="S147" s="942"/>
      <c r="T147" s="1039"/>
      <c r="U147" s="1039"/>
      <c r="V147" s="1039"/>
      <c r="W147" s="1039"/>
      <c r="X147" s="1039"/>
      <c r="Y147" s="1039"/>
      <c r="Z147" s="1039"/>
    </row>
    <row r="148" spans="1:26" ht="15.75">
      <c r="A148" s="1093"/>
      <c r="B148" s="1093"/>
      <c r="C148" s="1093"/>
      <c r="D148" s="1093"/>
      <c r="E148" s="1142"/>
      <c r="F148" s="1093"/>
      <c r="G148" s="1093"/>
      <c r="H148" s="1093"/>
      <c r="I148" s="871"/>
      <c r="J148" s="871"/>
      <c r="K148" s="4486"/>
      <c r="L148" s="4486"/>
      <c r="M148" s="1039"/>
      <c r="N148" s="1039"/>
      <c r="O148" s="1039"/>
      <c r="P148" s="1039"/>
      <c r="Q148" s="1039"/>
      <c r="R148" s="942"/>
      <c r="S148" s="942"/>
      <c r="T148" s="1039"/>
      <c r="U148" s="1039"/>
      <c r="V148" s="1039"/>
      <c r="W148" s="1039"/>
      <c r="X148" s="1039"/>
      <c r="Y148" s="1039"/>
      <c r="Z148" s="1039"/>
    </row>
    <row r="149" spans="1:26" ht="15.75">
      <c r="A149" s="1093"/>
      <c r="B149" s="1093"/>
      <c r="C149" s="1093"/>
      <c r="D149" s="1093"/>
      <c r="E149" s="1142"/>
      <c r="F149" s="1093"/>
      <c r="G149" s="1093"/>
      <c r="H149" s="1093"/>
      <c r="I149" s="871"/>
      <c r="J149" s="871"/>
      <c r="K149" s="989"/>
      <c r="L149" s="665"/>
      <c r="M149" s="1039"/>
      <c r="N149" s="1039"/>
      <c r="O149" s="1039"/>
      <c r="P149" s="1039"/>
      <c r="Q149" s="1039"/>
      <c r="R149" s="942"/>
      <c r="S149" s="942"/>
      <c r="T149" s="665"/>
      <c r="U149" s="665"/>
      <c r="V149" s="665"/>
      <c r="W149" s="665"/>
      <c r="X149" s="665"/>
      <c r="Y149" s="665"/>
      <c r="Z149" s="665"/>
    </row>
    <row r="150" spans="1:26" ht="15.75">
      <c r="A150" s="1093"/>
      <c r="B150" s="1093"/>
      <c r="C150" s="1093"/>
      <c r="D150" s="1093"/>
      <c r="E150" s="1142"/>
      <c r="F150" s="1093"/>
      <c r="G150" s="1093"/>
      <c r="H150" s="1093"/>
      <c r="I150" s="871"/>
      <c r="J150" s="871"/>
      <c r="M150" s="1039"/>
      <c r="N150" s="1039"/>
      <c r="O150" s="1039"/>
      <c r="P150" s="1039"/>
      <c r="Q150" s="1039"/>
      <c r="R150" s="942"/>
      <c r="S150" s="942"/>
    </row>
    <row r="151" spans="1:26" ht="15.75">
      <c r="A151" s="1093"/>
      <c r="B151" s="1093"/>
      <c r="C151" s="1093"/>
      <c r="D151" s="1093"/>
      <c r="E151" s="1142"/>
      <c r="F151" s="1093"/>
      <c r="G151" s="1093"/>
      <c r="H151" s="1093"/>
      <c r="I151" s="871"/>
      <c r="J151" s="871"/>
      <c r="M151" s="665"/>
      <c r="N151" s="665"/>
      <c r="O151" s="665"/>
      <c r="P151" s="665"/>
      <c r="Q151" s="665"/>
      <c r="R151" s="942"/>
      <c r="S151" s="942"/>
    </row>
    <row r="152" spans="1:26" ht="15.75">
      <c r="A152" s="1093"/>
      <c r="B152" s="1093"/>
      <c r="C152" s="1093"/>
      <c r="D152" s="1093"/>
      <c r="E152" s="1142"/>
      <c r="F152" s="1093"/>
      <c r="G152" s="1093"/>
      <c r="H152" s="1093"/>
      <c r="I152" s="871"/>
      <c r="J152" s="871"/>
      <c r="R152" s="942"/>
      <c r="S152" s="1039"/>
    </row>
    <row r="153" spans="1:26">
      <c r="A153" s="1093"/>
      <c r="B153" s="1093"/>
      <c r="C153" s="1093"/>
      <c r="D153" s="1093"/>
      <c r="E153" s="1142"/>
      <c r="F153" s="1093"/>
      <c r="G153" s="1093"/>
      <c r="H153" s="1093"/>
      <c r="I153" s="871"/>
      <c r="J153" s="871"/>
      <c r="R153" s="1039"/>
      <c r="S153" s="665"/>
    </row>
    <row r="154" spans="1:26">
      <c r="A154" s="1093"/>
      <c r="B154" s="1093"/>
      <c r="C154" s="1093"/>
      <c r="D154" s="1093"/>
      <c r="E154" s="1142"/>
      <c r="F154" s="1093"/>
      <c r="G154" s="1093"/>
      <c r="H154" s="1093"/>
      <c r="I154" s="871"/>
      <c r="J154" s="871"/>
      <c r="R154" s="665"/>
      <c r="S154" s="1039"/>
    </row>
    <row r="155" spans="1:26" outlineLevel="1">
      <c r="A155" s="1093"/>
      <c r="B155" s="1093"/>
      <c r="C155" s="1093"/>
      <c r="D155" s="1093"/>
      <c r="E155" s="1142"/>
      <c r="F155" s="1093"/>
      <c r="G155" s="1093"/>
      <c r="H155" s="1093"/>
      <c r="I155" s="871"/>
      <c r="J155" s="871"/>
      <c r="R155" s="1039"/>
      <c r="S155" s="1039"/>
    </row>
    <row r="156" spans="1:26" outlineLevel="1">
      <c r="I156" s="1151"/>
      <c r="J156" s="1151"/>
      <c r="R156" s="1039"/>
      <c r="S156" s="1039"/>
    </row>
    <row r="157" spans="1:26" outlineLevel="1">
      <c r="A157" s="1149" t="s">
        <v>125</v>
      </c>
      <c r="B157" s="1149" t="s">
        <v>124</v>
      </c>
      <c r="C157" s="1149" t="s">
        <v>125</v>
      </c>
      <c r="D157" s="1149" t="s">
        <v>273</v>
      </c>
      <c r="E157" s="1150" t="s">
        <v>732</v>
      </c>
      <c r="F157" s="1149" t="s">
        <v>147</v>
      </c>
      <c r="G157" s="1149" t="s">
        <v>173</v>
      </c>
      <c r="H157" s="1151"/>
      <c r="I157" s="1151"/>
      <c r="J157" s="1151"/>
      <c r="R157" s="1039"/>
      <c r="S157" s="665"/>
    </row>
    <row r="158" spans="1:26" outlineLevel="1">
      <c r="A158" s="1149" t="s">
        <v>354</v>
      </c>
      <c r="B158" s="1149" t="s">
        <v>134</v>
      </c>
      <c r="C158" s="1149" t="s">
        <v>135</v>
      </c>
      <c r="D158" s="1149" t="s">
        <v>99</v>
      </c>
      <c r="E158" s="1150" t="s">
        <v>275</v>
      </c>
      <c r="F158" s="1151" t="s">
        <v>141</v>
      </c>
      <c r="G158" s="1149" t="s">
        <v>187</v>
      </c>
      <c r="H158" s="1151"/>
      <c r="I158" s="1151"/>
      <c r="J158" s="1151"/>
      <c r="R158" s="665"/>
    </row>
    <row r="159" spans="1:26" outlineLevel="1">
      <c r="A159" s="1149" t="s">
        <v>381</v>
      </c>
      <c r="B159" s="1149" t="s">
        <v>134</v>
      </c>
      <c r="C159" s="1149" t="s">
        <v>135</v>
      </c>
      <c r="D159" s="1149" t="s">
        <v>99</v>
      </c>
      <c r="E159" s="1150" t="s">
        <v>275</v>
      </c>
      <c r="F159" s="1151" t="s">
        <v>141</v>
      </c>
      <c r="G159" s="1149" t="s">
        <v>187</v>
      </c>
      <c r="H159" s="1151"/>
      <c r="I159" s="1151"/>
      <c r="J159" s="1151"/>
    </row>
    <row r="160" spans="1:26" outlineLevel="1">
      <c r="A160" s="1149" t="s">
        <v>382</v>
      </c>
      <c r="B160" s="1149" t="s">
        <v>134</v>
      </c>
      <c r="C160" s="1149" t="s">
        <v>135</v>
      </c>
      <c r="D160" s="1149" t="s">
        <v>99</v>
      </c>
      <c r="E160" s="1150" t="s">
        <v>275</v>
      </c>
      <c r="F160" s="1151" t="s">
        <v>141</v>
      </c>
      <c r="G160" s="1149" t="s">
        <v>187</v>
      </c>
      <c r="H160" s="1151"/>
      <c r="I160" s="1151"/>
      <c r="J160" s="1151"/>
    </row>
    <row r="161" spans="1:7" outlineLevel="1">
      <c r="A161" s="1149" t="s">
        <v>705</v>
      </c>
      <c r="B161" s="1149" t="s">
        <v>212</v>
      </c>
      <c r="C161" s="1149" t="s">
        <v>213</v>
      </c>
      <c r="D161" s="1149" t="s">
        <v>99</v>
      </c>
      <c r="E161" s="1150" t="s">
        <v>237</v>
      </c>
      <c r="F161" s="1149" t="s">
        <v>131</v>
      </c>
      <c r="G161" s="1149" t="s">
        <v>187</v>
      </c>
    </row>
    <row r="162" spans="1:7" outlineLevel="1">
      <c r="A162" s="1149" t="s">
        <v>413</v>
      </c>
      <c r="B162" s="1149" t="s">
        <v>144</v>
      </c>
      <c r="C162" s="1149" t="s">
        <v>145</v>
      </c>
      <c r="D162" s="1149" t="s">
        <v>273</v>
      </c>
      <c r="E162" s="1150" t="s">
        <v>275</v>
      </c>
      <c r="F162" s="1149" t="s">
        <v>147</v>
      </c>
      <c r="G162" s="1149" t="s">
        <v>173</v>
      </c>
    </row>
    <row r="163" spans="1:7" outlineLevel="1">
      <c r="A163" s="1149" t="s">
        <v>616</v>
      </c>
      <c r="B163" s="1149" t="s">
        <v>199</v>
      </c>
      <c r="C163" s="1149" t="s">
        <v>617</v>
      </c>
      <c r="D163" s="1149" t="s">
        <v>273</v>
      </c>
      <c r="E163" s="1150" t="s">
        <v>275</v>
      </c>
      <c r="F163" s="1149" t="s">
        <v>147</v>
      </c>
      <c r="G163" s="1149" t="s">
        <v>173</v>
      </c>
    </row>
    <row r="164" spans="1:7" outlineLevel="1">
      <c r="A164" s="1149" t="s">
        <v>721</v>
      </c>
      <c r="B164" s="1149" t="s">
        <v>214</v>
      </c>
      <c r="C164" s="1149" t="s">
        <v>215</v>
      </c>
      <c r="D164" s="1149" t="s">
        <v>273</v>
      </c>
      <c r="E164" s="1150" t="s">
        <v>732</v>
      </c>
      <c r="F164" s="1149" t="s">
        <v>147</v>
      </c>
      <c r="G164" s="1149" t="s">
        <v>173</v>
      </c>
    </row>
    <row r="165" spans="1:7" outlineLevel="1">
      <c r="A165" s="1151" t="s">
        <v>356</v>
      </c>
      <c r="B165" s="1149" t="s">
        <v>124</v>
      </c>
      <c r="C165" s="1151" t="s">
        <v>125</v>
      </c>
      <c r="D165" s="1149" t="s">
        <v>273</v>
      </c>
      <c r="E165" s="1150" t="s">
        <v>732</v>
      </c>
      <c r="F165" s="1149" t="s">
        <v>147</v>
      </c>
      <c r="G165" s="1149" t="s">
        <v>173</v>
      </c>
    </row>
    <row r="166" spans="1:7" outlineLevel="1">
      <c r="A166" s="1149" t="s">
        <v>540</v>
      </c>
      <c r="B166" s="1149" t="s">
        <v>179</v>
      </c>
      <c r="C166" s="1149" t="s">
        <v>268</v>
      </c>
      <c r="D166" s="1149" t="s">
        <v>99</v>
      </c>
      <c r="E166" s="1150" t="s">
        <v>276</v>
      </c>
      <c r="F166" s="1149" t="s">
        <v>149</v>
      </c>
      <c r="G166" s="1149" t="s">
        <v>187</v>
      </c>
    </row>
    <row r="167" spans="1:7" outlineLevel="1">
      <c r="A167" s="1149" t="s">
        <v>594</v>
      </c>
      <c r="B167" s="1149" t="s">
        <v>193</v>
      </c>
      <c r="C167" s="1149" t="s">
        <v>194</v>
      </c>
      <c r="D167" s="1149" t="s">
        <v>99</v>
      </c>
      <c r="E167" s="1150" t="s">
        <v>733</v>
      </c>
      <c r="F167" s="1149" t="s">
        <v>141</v>
      </c>
      <c r="G167" s="1149" t="s">
        <v>187</v>
      </c>
    </row>
    <row r="168" spans="1:7" outlineLevel="1">
      <c r="A168" s="1149" t="s">
        <v>665</v>
      </c>
      <c r="B168" s="1149" t="s">
        <v>206</v>
      </c>
      <c r="C168" s="1149" t="s">
        <v>207</v>
      </c>
      <c r="D168" s="1149" t="s">
        <v>99</v>
      </c>
      <c r="E168" s="1150" t="s">
        <v>237</v>
      </c>
      <c r="F168" s="1149" t="s">
        <v>131</v>
      </c>
      <c r="G168" s="1149" t="s">
        <v>187</v>
      </c>
    </row>
    <row r="169" spans="1:7" outlineLevel="1">
      <c r="A169" s="1149" t="s">
        <v>647</v>
      </c>
      <c r="B169" s="1149" t="s">
        <v>202</v>
      </c>
      <c r="C169" s="1149" t="s">
        <v>203</v>
      </c>
      <c r="D169" s="1149" t="s">
        <v>99</v>
      </c>
      <c r="E169" s="1150" t="s">
        <v>277</v>
      </c>
      <c r="F169" s="1149" t="s">
        <v>1238</v>
      </c>
      <c r="G169" s="1149" t="s">
        <v>187</v>
      </c>
    </row>
    <row r="170" spans="1:7" outlineLevel="1">
      <c r="A170" s="1149" t="s">
        <v>498</v>
      </c>
      <c r="B170" s="1149" t="s">
        <v>168</v>
      </c>
      <c r="C170" s="1149" t="s">
        <v>168</v>
      </c>
      <c r="D170" s="1149" t="s">
        <v>99</v>
      </c>
      <c r="E170" s="1150" t="s">
        <v>733</v>
      </c>
      <c r="F170" s="1149" t="s">
        <v>141</v>
      </c>
      <c r="G170" s="1149" t="s">
        <v>187</v>
      </c>
    </row>
    <row r="171" spans="1:7" outlineLevel="1">
      <c r="A171" s="1149" t="s">
        <v>399</v>
      </c>
      <c r="B171" s="1149" t="s">
        <v>138</v>
      </c>
      <c r="C171" s="1149" t="s">
        <v>139</v>
      </c>
      <c r="D171" s="1149" t="s">
        <v>99</v>
      </c>
      <c r="E171" s="1150" t="s">
        <v>275</v>
      </c>
      <c r="F171" s="1149" t="s">
        <v>141</v>
      </c>
      <c r="G171" s="1149" t="s">
        <v>187</v>
      </c>
    </row>
    <row r="172" spans="1:7" outlineLevel="1">
      <c r="A172" s="1149" t="s">
        <v>400</v>
      </c>
      <c r="B172" s="1149" t="s">
        <v>138</v>
      </c>
      <c r="C172" s="1149" t="s">
        <v>139</v>
      </c>
      <c r="D172" s="1149" t="s">
        <v>99</v>
      </c>
      <c r="E172" s="1150" t="s">
        <v>275</v>
      </c>
      <c r="F172" s="1149" t="s">
        <v>141</v>
      </c>
      <c r="G172" s="1149" t="s">
        <v>187</v>
      </c>
    </row>
    <row r="173" spans="1:7" outlineLevel="1">
      <c r="A173" s="1149" t="s">
        <v>585</v>
      </c>
      <c r="B173" s="1149" t="s">
        <v>191</v>
      </c>
      <c r="C173" s="1149" t="s">
        <v>192</v>
      </c>
      <c r="D173" s="1149" t="s">
        <v>99</v>
      </c>
      <c r="E173" s="1150" t="s">
        <v>733</v>
      </c>
      <c r="F173" s="1149" t="s">
        <v>141</v>
      </c>
      <c r="G173" s="1149" t="s">
        <v>187</v>
      </c>
    </row>
    <row r="174" spans="1:7" outlineLevel="1">
      <c r="A174" s="1149" t="s">
        <v>524</v>
      </c>
      <c r="B174" s="1149" t="s">
        <v>176</v>
      </c>
      <c r="C174" s="1149" t="s">
        <v>272</v>
      </c>
      <c r="D174" s="1149" t="s">
        <v>99</v>
      </c>
      <c r="E174" s="1150" t="s">
        <v>277</v>
      </c>
      <c r="F174" s="1149" t="s">
        <v>1238</v>
      </c>
      <c r="G174" s="1149" t="s">
        <v>187</v>
      </c>
    </row>
    <row r="175" spans="1:7" outlineLevel="1">
      <c r="A175" s="1149" t="s">
        <v>634</v>
      </c>
      <c r="B175" s="1149" t="s">
        <v>200</v>
      </c>
      <c r="C175" s="1149" t="s">
        <v>201</v>
      </c>
      <c r="D175" s="1149" t="s">
        <v>99</v>
      </c>
      <c r="E175" s="1150" t="s">
        <v>275</v>
      </c>
      <c r="F175" s="1149" t="s">
        <v>141</v>
      </c>
      <c r="G175" s="1149" t="s">
        <v>187</v>
      </c>
    </row>
    <row r="176" spans="1:7" outlineLevel="1">
      <c r="A176" s="1149" t="s">
        <v>489</v>
      </c>
      <c r="B176" s="1149" t="s">
        <v>169</v>
      </c>
      <c r="C176" s="1149" t="s">
        <v>170</v>
      </c>
      <c r="D176" s="1149" t="s">
        <v>99</v>
      </c>
      <c r="E176" s="1150" t="s">
        <v>733</v>
      </c>
      <c r="F176" s="1149" t="s">
        <v>141</v>
      </c>
      <c r="G176" s="1149" t="s">
        <v>187</v>
      </c>
    </row>
    <row r="177" spans="1:7" outlineLevel="1">
      <c r="A177" s="1149" t="s">
        <v>618</v>
      </c>
      <c r="B177" s="1149" t="s">
        <v>199</v>
      </c>
      <c r="C177" s="1149" t="s">
        <v>617</v>
      </c>
      <c r="D177" s="1149" t="s">
        <v>273</v>
      </c>
      <c r="E177" s="1150" t="s">
        <v>275</v>
      </c>
      <c r="F177" s="1149" t="s">
        <v>147</v>
      </c>
      <c r="G177" s="1149" t="s">
        <v>173</v>
      </c>
    </row>
    <row r="178" spans="1:7" outlineLevel="1">
      <c r="A178" s="1149" t="s">
        <v>635</v>
      </c>
      <c r="B178" s="1149" t="s">
        <v>200</v>
      </c>
      <c r="C178" s="1149" t="s">
        <v>201</v>
      </c>
      <c r="D178" s="1149" t="s">
        <v>99</v>
      </c>
      <c r="E178" s="1150" t="s">
        <v>275</v>
      </c>
      <c r="F178" s="1149" t="s">
        <v>141</v>
      </c>
      <c r="G178" s="1149" t="s">
        <v>187</v>
      </c>
    </row>
    <row r="179" spans="1:7" outlineLevel="1">
      <c r="A179" s="1149" t="s">
        <v>595</v>
      </c>
      <c r="B179" s="1149" t="s">
        <v>193</v>
      </c>
      <c r="C179" s="1149" t="s">
        <v>194</v>
      </c>
      <c r="D179" s="1149" t="s">
        <v>99</v>
      </c>
      <c r="E179" s="1150" t="s">
        <v>733</v>
      </c>
      <c r="F179" s="1149" t="s">
        <v>141</v>
      </c>
      <c r="G179" s="1149" t="s">
        <v>187</v>
      </c>
    </row>
    <row r="180" spans="1:7" outlineLevel="1">
      <c r="A180" s="1149" t="s">
        <v>437</v>
      </c>
      <c r="B180" s="1149" t="s">
        <v>150</v>
      </c>
      <c r="C180" s="1149" t="s">
        <v>151</v>
      </c>
      <c r="D180" s="1149" t="s">
        <v>273</v>
      </c>
      <c r="E180" s="1150" t="s">
        <v>277</v>
      </c>
      <c r="F180" s="1149" t="s">
        <v>1238</v>
      </c>
      <c r="G180" s="1149" t="s">
        <v>173</v>
      </c>
    </row>
    <row r="181" spans="1:7" outlineLevel="1">
      <c r="A181" s="1149" t="s">
        <v>567</v>
      </c>
      <c r="B181" s="1149" t="s">
        <v>182</v>
      </c>
      <c r="C181" s="1149" t="s">
        <v>269</v>
      </c>
      <c r="D181" s="1149" t="s">
        <v>99</v>
      </c>
      <c r="E181" s="1150" t="s">
        <v>277</v>
      </c>
      <c r="F181" s="1149" t="s">
        <v>1238</v>
      </c>
      <c r="G181" s="1149" t="s">
        <v>187</v>
      </c>
    </row>
    <row r="182" spans="1:7" outlineLevel="1">
      <c r="A182" s="1149" t="s">
        <v>525</v>
      </c>
      <c r="B182" s="1149" t="s">
        <v>176</v>
      </c>
      <c r="C182" s="1149" t="s">
        <v>272</v>
      </c>
      <c r="D182" s="1149" t="s">
        <v>99</v>
      </c>
      <c r="E182" s="1150" t="s">
        <v>277</v>
      </c>
      <c r="F182" s="1149" t="s">
        <v>1238</v>
      </c>
      <c r="G182" s="1149" t="s">
        <v>187</v>
      </c>
    </row>
    <row r="183" spans="1:7" outlineLevel="1">
      <c r="A183" s="1149" t="s">
        <v>648</v>
      </c>
      <c r="B183" s="1149" t="s">
        <v>202</v>
      </c>
      <c r="C183" s="1149" t="s">
        <v>203</v>
      </c>
      <c r="D183" s="1149" t="s">
        <v>99</v>
      </c>
      <c r="E183" s="1150" t="s">
        <v>277</v>
      </c>
      <c r="F183" s="1149" t="s">
        <v>1238</v>
      </c>
      <c r="G183" s="1149" t="s">
        <v>187</v>
      </c>
    </row>
    <row r="184" spans="1:7" outlineLevel="1">
      <c r="A184" s="1149" t="s">
        <v>596</v>
      </c>
      <c r="B184" s="1149" t="s">
        <v>193</v>
      </c>
      <c r="C184" s="1149" t="s">
        <v>194</v>
      </c>
      <c r="D184" s="1149" t="s">
        <v>99</v>
      </c>
      <c r="E184" s="1150" t="s">
        <v>733</v>
      </c>
      <c r="F184" s="1149" t="s">
        <v>141</v>
      </c>
      <c r="G184" s="1149" t="s">
        <v>187</v>
      </c>
    </row>
    <row r="185" spans="1:7" outlineLevel="1">
      <c r="A185" s="1149" t="s">
        <v>597</v>
      </c>
      <c r="B185" s="1149" t="s">
        <v>193</v>
      </c>
      <c r="C185" s="1149" t="s">
        <v>194</v>
      </c>
      <c r="D185" s="1149" t="s">
        <v>99</v>
      </c>
      <c r="E185" s="1150" t="s">
        <v>733</v>
      </c>
      <c r="F185" s="1149" t="s">
        <v>141</v>
      </c>
      <c r="G185" s="1149" t="s">
        <v>187</v>
      </c>
    </row>
    <row r="186" spans="1:7" outlineLevel="1">
      <c r="A186" s="1151" t="s">
        <v>357</v>
      </c>
      <c r="B186" s="1149" t="s">
        <v>124</v>
      </c>
      <c r="C186" s="1151" t="s">
        <v>125</v>
      </c>
      <c r="D186" s="1149" t="s">
        <v>273</v>
      </c>
      <c r="E186" s="1150" t="s">
        <v>732</v>
      </c>
      <c r="F186" s="1149" t="s">
        <v>147</v>
      </c>
      <c r="G186" s="1149" t="s">
        <v>173</v>
      </c>
    </row>
    <row r="187" spans="1:7" outlineLevel="1">
      <c r="A187" s="1149" t="s">
        <v>541</v>
      </c>
      <c r="B187" s="1149" t="s">
        <v>179</v>
      </c>
      <c r="C187" s="1149" t="s">
        <v>268</v>
      </c>
      <c r="D187" s="1149" t="s">
        <v>99</v>
      </c>
      <c r="E187" s="1150" t="s">
        <v>276</v>
      </c>
      <c r="F187" s="1149" t="s">
        <v>149</v>
      </c>
      <c r="G187" s="1149" t="s">
        <v>187</v>
      </c>
    </row>
    <row r="188" spans="1:7" outlineLevel="1">
      <c r="A188" s="1149" t="s">
        <v>526</v>
      </c>
      <c r="B188" s="1149" t="s">
        <v>176</v>
      </c>
      <c r="C188" s="1149" t="s">
        <v>272</v>
      </c>
      <c r="D188" s="1149" t="s">
        <v>99</v>
      </c>
      <c r="E188" s="1150" t="s">
        <v>277</v>
      </c>
      <c r="F188" s="1149" t="s">
        <v>1238</v>
      </c>
      <c r="G188" s="1149" t="s">
        <v>187</v>
      </c>
    </row>
    <row r="189" spans="1:7" outlineLevel="1">
      <c r="A189" s="1149" t="s">
        <v>706</v>
      </c>
      <c r="B189" s="1149" t="s">
        <v>212</v>
      </c>
      <c r="C189" s="1149" t="s">
        <v>213</v>
      </c>
      <c r="D189" s="1149" t="s">
        <v>99</v>
      </c>
      <c r="E189" s="1150" t="s">
        <v>237</v>
      </c>
      <c r="F189" s="1149" t="s">
        <v>131</v>
      </c>
      <c r="G189" s="1149" t="s">
        <v>187</v>
      </c>
    </row>
    <row r="190" spans="1:7" outlineLevel="1">
      <c r="A190" s="1149" t="s">
        <v>364</v>
      </c>
      <c r="B190" s="1149" t="s">
        <v>126</v>
      </c>
      <c r="C190" s="1149" t="s">
        <v>270</v>
      </c>
      <c r="D190" s="1149" t="s">
        <v>273</v>
      </c>
      <c r="E190" s="1150" t="s">
        <v>277</v>
      </c>
      <c r="F190" s="1149" t="s">
        <v>1238</v>
      </c>
      <c r="G190" s="1149" t="s">
        <v>173</v>
      </c>
    </row>
    <row r="191" spans="1:7" outlineLevel="1">
      <c r="A191" s="1149" t="s">
        <v>707</v>
      </c>
      <c r="B191" s="1149" t="s">
        <v>212</v>
      </c>
      <c r="C191" s="1149" t="s">
        <v>213</v>
      </c>
      <c r="D191" s="1149" t="s">
        <v>99</v>
      </c>
      <c r="E191" s="1150" t="s">
        <v>237</v>
      </c>
      <c r="F191" s="1149" t="s">
        <v>131</v>
      </c>
      <c r="G191" s="1149" t="s">
        <v>187</v>
      </c>
    </row>
    <row r="192" spans="1:7" outlineLevel="1">
      <c r="A192" s="1149" t="s">
        <v>366</v>
      </c>
      <c r="B192" s="1149" t="s">
        <v>126</v>
      </c>
      <c r="C192" s="1149" t="s">
        <v>270</v>
      </c>
      <c r="D192" s="1149" t="s">
        <v>273</v>
      </c>
      <c r="E192" s="1150" t="s">
        <v>277</v>
      </c>
      <c r="F192" s="1149" t="s">
        <v>1238</v>
      </c>
      <c r="G192" s="1149" t="s">
        <v>173</v>
      </c>
    </row>
    <row r="193" spans="1:7" outlineLevel="1">
      <c r="A193" s="1149" t="s">
        <v>365</v>
      </c>
      <c r="B193" s="1149" t="s">
        <v>127</v>
      </c>
      <c r="C193" s="1149" t="s">
        <v>271</v>
      </c>
      <c r="D193" s="1149" t="s">
        <v>273</v>
      </c>
      <c r="E193" s="1150" t="s">
        <v>732</v>
      </c>
      <c r="F193" s="1149" t="s">
        <v>147</v>
      </c>
      <c r="G193" s="1149" t="s">
        <v>173</v>
      </c>
    </row>
    <row r="194" spans="1:7" outlineLevel="1">
      <c r="A194" s="1149" t="s">
        <v>687</v>
      </c>
      <c r="B194" s="1149" t="s">
        <v>208</v>
      </c>
      <c r="C194" s="1149" t="s">
        <v>209</v>
      </c>
      <c r="D194" s="1149" t="s">
        <v>99</v>
      </c>
      <c r="E194" s="1150" t="s">
        <v>276</v>
      </c>
      <c r="F194" s="1149" t="s">
        <v>149</v>
      </c>
      <c r="G194" s="1149" t="s">
        <v>187</v>
      </c>
    </row>
    <row r="195" spans="1:7" outlineLevel="1">
      <c r="A195" s="1149" t="s">
        <v>444</v>
      </c>
      <c r="B195" s="1149" t="s">
        <v>154</v>
      </c>
      <c r="C195" s="1149" t="s">
        <v>445</v>
      </c>
      <c r="D195" s="1149" t="s">
        <v>273</v>
      </c>
      <c r="E195" s="1150" t="s">
        <v>275</v>
      </c>
      <c r="F195" s="1149" t="s">
        <v>147</v>
      </c>
      <c r="G195" s="1149" t="s">
        <v>173</v>
      </c>
    </row>
    <row r="196" spans="1:7" outlineLevel="1">
      <c r="A196" s="1149" t="s">
        <v>499</v>
      </c>
      <c r="B196" s="1149" t="s">
        <v>168</v>
      </c>
      <c r="C196" s="1149" t="s">
        <v>168</v>
      </c>
      <c r="D196" s="1149" t="s">
        <v>99</v>
      </c>
      <c r="E196" s="1150" t="s">
        <v>733</v>
      </c>
      <c r="F196" s="1149" t="s">
        <v>141</v>
      </c>
      <c r="G196" s="1149" t="s">
        <v>187</v>
      </c>
    </row>
    <row r="197" spans="1:7" outlineLevel="1">
      <c r="A197" s="1149" t="s">
        <v>490</v>
      </c>
      <c r="B197" s="1149" t="s">
        <v>169</v>
      </c>
      <c r="C197" s="1149" t="s">
        <v>170</v>
      </c>
      <c r="D197" s="1149" t="s">
        <v>99</v>
      </c>
      <c r="E197" s="1150" t="s">
        <v>733</v>
      </c>
      <c r="F197" s="1149" t="s">
        <v>141</v>
      </c>
      <c r="G197" s="1149" t="s">
        <v>187</v>
      </c>
    </row>
    <row r="198" spans="1:7" outlineLevel="1">
      <c r="A198" s="1149" t="s">
        <v>129</v>
      </c>
      <c r="B198" s="1149" t="s">
        <v>128</v>
      </c>
      <c r="C198" s="1149" t="s">
        <v>129</v>
      </c>
      <c r="D198" s="1149" t="s">
        <v>99</v>
      </c>
      <c r="E198" s="1150" t="s">
        <v>275</v>
      </c>
      <c r="F198" s="1149" t="s">
        <v>141</v>
      </c>
      <c r="G198" s="1149" t="s">
        <v>187</v>
      </c>
    </row>
    <row r="199" spans="1:7" outlineLevel="1">
      <c r="A199" s="1149" t="s">
        <v>401</v>
      </c>
      <c r="B199" s="1149" t="s">
        <v>138</v>
      </c>
      <c r="C199" s="1149" t="s">
        <v>139</v>
      </c>
      <c r="D199" s="1149" t="s">
        <v>99</v>
      </c>
      <c r="E199" s="1150" t="s">
        <v>275</v>
      </c>
      <c r="F199" s="1149" t="s">
        <v>141</v>
      </c>
      <c r="G199" s="1149" t="s">
        <v>187</v>
      </c>
    </row>
    <row r="200" spans="1:7" outlineLevel="1">
      <c r="A200" s="1149" t="s">
        <v>438</v>
      </c>
      <c r="B200" s="1149" t="s">
        <v>150</v>
      </c>
      <c r="C200" s="1149" t="s">
        <v>151</v>
      </c>
      <c r="D200" s="1149" t="s">
        <v>273</v>
      </c>
      <c r="E200" s="1150" t="s">
        <v>277</v>
      </c>
      <c r="F200" s="1149" t="s">
        <v>1238</v>
      </c>
      <c r="G200" s="1149" t="s">
        <v>173</v>
      </c>
    </row>
    <row r="201" spans="1:7" outlineLevel="1">
      <c r="A201" s="1149" t="s">
        <v>527</v>
      </c>
      <c r="B201" s="1149" t="s">
        <v>176</v>
      </c>
      <c r="C201" s="1149" t="s">
        <v>272</v>
      </c>
      <c r="D201" s="1149" t="s">
        <v>99</v>
      </c>
      <c r="E201" s="1150" t="s">
        <v>277</v>
      </c>
      <c r="F201" s="1149" t="s">
        <v>1238</v>
      </c>
      <c r="G201" s="1149" t="s">
        <v>187</v>
      </c>
    </row>
    <row r="202" spans="1:7" outlineLevel="1">
      <c r="A202" s="1149" t="s">
        <v>383</v>
      </c>
      <c r="B202" s="1149" t="s">
        <v>134</v>
      </c>
      <c r="C202" s="1149" t="s">
        <v>135</v>
      </c>
      <c r="D202" s="1149" t="s">
        <v>99</v>
      </c>
      <c r="E202" s="1150" t="s">
        <v>275</v>
      </c>
      <c r="F202" s="1151" t="s">
        <v>141</v>
      </c>
      <c r="G202" s="1149" t="s">
        <v>187</v>
      </c>
    </row>
    <row r="203" spans="1:7" outlineLevel="1">
      <c r="A203" s="1149" t="s">
        <v>131</v>
      </c>
      <c r="B203" s="1149" t="s">
        <v>130</v>
      </c>
      <c r="C203" s="1149" t="s">
        <v>131</v>
      </c>
      <c r="D203" s="1149" t="s">
        <v>99</v>
      </c>
      <c r="E203" s="1150" t="s">
        <v>275</v>
      </c>
      <c r="F203" s="1149" t="s">
        <v>141</v>
      </c>
      <c r="G203" s="1149" t="s">
        <v>187</v>
      </c>
    </row>
    <row r="204" spans="1:7" outlineLevel="1">
      <c r="A204" s="1149" t="s">
        <v>688</v>
      </c>
      <c r="B204" s="1149" t="s">
        <v>208</v>
      </c>
      <c r="C204" s="1149" t="s">
        <v>209</v>
      </c>
      <c r="D204" s="1149" t="s">
        <v>99</v>
      </c>
      <c r="E204" s="1150" t="s">
        <v>276</v>
      </c>
      <c r="F204" s="1149" t="s">
        <v>149</v>
      </c>
      <c r="G204" s="1149" t="s">
        <v>187</v>
      </c>
    </row>
    <row r="205" spans="1:7" outlineLevel="1">
      <c r="A205" s="1149" t="s">
        <v>133</v>
      </c>
      <c r="B205" s="1149" t="s">
        <v>132</v>
      </c>
      <c r="C205" s="1149" t="s">
        <v>133</v>
      </c>
      <c r="D205" s="1149" t="s">
        <v>273</v>
      </c>
      <c r="E205" s="1150" t="s">
        <v>275</v>
      </c>
      <c r="F205" s="1149" t="s">
        <v>147</v>
      </c>
      <c r="G205" s="1149" t="s">
        <v>173</v>
      </c>
    </row>
    <row r="206" spans="1:7" outlineLevel="1">
      <c r="A206" s="1149" t="s">
        <v>598</v>
      </c>
      <c r="B206" s="1149" t="s">
        <v>193</v>
      </c>
      <c r="C206" s="1149" t="s">
        <v>194</v>
      </c>
      <c r="D206" s="1149" t="s">
        <v>99</v>
      </c>
      <c r="E206" s="1150" t="s">
        <v>733</v>
      </c>
      <c r="F206" s="1149" t="s">
        <v>141</v>
      </c>
      <c r="G206" s="1149" t="s">
        <v>187</v>
      </c>
    </row>
    <row r="207" spans="1:7" outlineLevel="1">
      <c r="A207" s="1149" t="s">
        <v>491</v>
      </c>
      <c r="B207" s="1149" t="s">
        <v>169</v>
      </c>
      <c r="C207" s="1149" t="s">
        <v>170</v>
      </c>
      <c r="D207" s="1149" t="s">
        <v>99</v>
      </c>
      <c r="E207" s="1150" t="s">
        <v>733</v>
      </c>
      <c r="F207" s="1149" t="s">
        <v>141</v>
      </c>
      <c r="G207" s="1149" t="s">
        <v>187</v>
      </c>
    </row>
    <row r="208" spans="1:7" outlineLevel="1">
      <c r="A208" s="1149" t="s">
        <v>457</v>
      </c>
      <c r="B208" s="1149" t="s">
        <v>156</v>
      </c>
      <c r="C208" s="1149" t="s">
        <v>157</v>
      </c>
      <c r="D208" s="1149" t="s">
        <v>99</v>
      </c>
      <c r="E208" s="1150" t="s">
        <v>733</v>
      </c>
      <c r="F208" s="1149" t="s">
        <v>141</v>
      </c>
      <c r="G208" s="1149" t="s">
        <v>187</v>
      </c>
    </row>
    <row r="209" spans="1:7" outlineLevel="1">
      <c r="A209" s="1149" t="s">
        <v>135</v>
      </c>
      <c r="B209" s="1149" t="s">
        <v>134</v>
      </c>
      <c r="C209" s="1149" t="s">
        <v>135</v>
      </c>
      <c r="D209" s="1149" t="s">
        <v>99</v>
      </c>
      <c r="E209" s="1150" t="s">
        <v>275</v>
      </c>
      <c r="F209" s="1151" t="s">
        <v>141</v>
      </c>
      <c r="G209" s="1149" t="s">
        <v>187</v>
      </c>
    </row>
    <row r="210" spans="1:7" outlineLevel="1">
      <c r="A210" s="1149" t="s">
        <v>619</v>
      </c>
      <c r="B210" s="1149" t="s">
        <v>199</v>
      </c>
      <c r="C210" s="1149" t="s">
        <v>617</v>
      </c>
      <c r="D210" s="1149" t="s">
        <v>273</v>
      </c>
      <c r="E210" s="1150" t="s">
        <v>275</v>
      </c>
      <c r="F210" s="1149" t="s">
        <v>147</v>
      </c>
      <c r="G210" s="1149" t="s">
        <v>173</v>
      </c>
    </row>
    <row r="211" spans="1:7" outlineLevel="1">
      <c r="A211" s="1149" t="s">
        <v>137</v>
      </c>
      <c r="B211" s="1149" t="s">
        <v>136</v>
      </c>
      <c r="C211" s="1149" t="s">
        <v>137</v>
      </c>
      <c r="D211" s="1149" t="s">
        <v>99</v>
      </c>
      <c r="E211" s="1150" t="s">
        <v>275</v>
      </c>
      <c r="F211" s="1149" t="s">
        <v>147</v>
      </c>
      <c r="G211" s="1149" t="s">
        <v>187</v>
      </c>
    </row>
    <row r="212" spans="1:7" outlineLevel="1">
      <c r="A212" s="1149" t="s">
        <v>492</v>
      </c>
      <c r="B212" s="1149" t="s">
        <v>169</v>
      </c>
      <c r="C212" s="1149" t="s">
        <v>170</v>
      </c>
      <c r="D212" s="1149" t="s">
        <v>99</v>
      </c>
      <c r="E212" s="1150" t="s">
        <v>733</v>
      </c>
      <c r="F212" s="1149" t="s">
        <v>141</v>
      </c>
      <c r="G212" s="1149" t="s">
        <v>187</v>
      </c>
    </row>
    <row r="213" spans="1:7" outlineLevel="1">
      <c r="A213" s="1149" t="s">
        <v>493</v>
      </c>
      <c r="B213" s="1149" t="s">
        <v>169</v>
      </c>
      <c r="C213" s="1149" t="s">
        <v>170</v>
      </c>
      <c r="D213" s="1149" t="s">
        <v>99</v>
      </c>
      <c r="E213" s="1150" t="s">
        <v>733</v>
      </c>
      <c r="F213" s="1149" t="s">
        <v>141</v>
      </c>
      <c r="G213" s="1149" t="s">
        <v>187</v>
      </c>
    </row>
    <row r="214" spans="1:7" outlineLevel="1">
      <c r="A214" s="1149" t="s">
        <v>429</v>
      </c>
      <c r="B214" s="1149" t="s">
        <v>148</v>
      </c>
      <c r="C214" s="1149" t="s">
        <v>267</v>
      </c>
      <c r="D214" s="1149" t="s">
        <v>99</v>
      </c>
      <c r="E214" s="1150" t="s">
        <v>276</v>
      </c>
      <c r="F214" s="1149" t="s">
        <v>149</v>
      </c>
      <c r="G214" s="1149" t="s">
        <v>187</v>
      </c>
    </row>
    <row r="215" spans="1:7" outlineLevel="1">
      <c r="A215" s="1149" t="s">
        <v>500</v>
      </c>
      <c r="B215" s="1149" t="s">
        <v>168</v>
      </c>
      <c r="C215" s="1149" t="s">
        <v>168</v>
      </c>
      <c r="D215" s="1149" t="s">
        <v>99</v>
      </c>
      <c r="E215" s="1150" t="s">
        <v>733</v>
      </c>
      <c r="F215" s="1149" t="s">
        <v>141</v>
      </c>
      <c r="G215" s="1149" t="s">
        <v>187</v>
      </c>
    </row>
    <row r="216" spans="1:7" outlineLevel="1">
      <c r="A216" s="1149" t="s">
        <v>501</v>
      </c>
      <c r="B216" s="1149" t="s">
        <v>168</v>
      </c>
      <c r="C216" s="1149" t="s">
        <v>168</v>
      </c>
      <c r="D216" s="1149" t="s">
        <v>99</v>
      </c>
      <c r="E216" s="1150" t="s">
        <v>733</v>
      </c>
      <c r="F216" s="1149" t="s">
        <v>141</v>
      </c>
      <c r="G216" s="1149" t="s">
        <v>187</v>
      </c>
    </row>
    <row r="217" spans="1:7" outlineLevel="1">
      <c r="A217" s="1149" t="s">
        <v>697</v>
      </c>
      <c r="B217" s="1149" t="s">
        <v>210</v>
      </c>
      <c r="C217" s="1149" t="s">
        <v>211</v>
      </c>
      <c r="D217" s="1149" t="s">
        <v>273</v>
      </c>
      <c r="E217" s="1150" t="s">
        <v>276</v>
      </c>
      <c r="F217" s="1149" t="s">
        <v>149</v>
      </c>
      <c r="G217" s="1149" t="s">
        <v>173</v>
      </c>
    </row>
    <row r="218" spans="1:7" outlineLevel="1">
      <c r="A218" s="1149" t="s">
        <v>367</v>
      </c>
      <c r="B218" s="1149" t="s">
        <v>126</v>
      </c>
      <c r="C218" s="1149" t="s">
        <v>270</v>
      </c>
      <c r="D218" s="1149" t="s">
        <v>273</v>
      </c>
      <c r="E218" s="1150" t="s">
        <v>277</v>
      </c>
      <c r="F218" s="1149" t="s">
        <v>1238</v>
      </c>
      <c r="G218" s="1149" t="s">
        <v>173</v>
      </c>
    </row>
    <row r="219" spans="1:7" outlineLevel="1">
      <c r="A219" s="1149" t="s">
        <v>480</v>
      </c>
      <c r="B219" s="1149" t="s">
        <v>164</v>
      </c>
      <c r="C219" s="1149" t="s">
        <v>165</v>
      </c>
      <c r="D219" s="1149" t="s">
        <v>99</v>
      </c>
      <c r="E219" s="1150" t="s">
        <v>733</v>
      </c>
      <c r="F219" s="1149" t="s">
        <v>141</v>
      </c>
      <c r="G219" s="1149" t="s">
        <v>187</v>
      </c>
    </row>
    <row r="220" spans="1:7" outlineLevel="1">
      <c r="A220" s="1149" t="s">
        <v>636</v>
      </c>
      <c r="B220" s="1149" t="s">
        <v>200</v>
      </c>
      <c r="C220" s="1149" t="s">
        <v>201</v>
      </c>
      <c r="D220" s="1149" t="s">
        <v>99</v>
      </c>
      <c r="E220" s="1150" t="s">
        <v>275</v>
      </c>
      <c r="F220" s="1149" t="s">
        <v>141</v>
      </c>
      <c r="G220" s="1149" t="s">
        <v>187</v>
      </c>
    </row>
    <row r="221" spans="1:7" outlineLevel="1">
      <c r="A221" s="1149" t="s">
        <v>637</v>
      </c>
      <c r="B221" s="1149" t="s">
        <v>200</v>
      </c>
      <c r="C221" s="1149" t="s">
        <v>201</v>
      </c>
      <c r="D221" s="1149" t="s">
        <v>99</v>
      </c>
      <c r="E221" s="1150" t="s">
        <v>275</v>
      </c>
      <c r="F221" s="1149" t="s">
        <v>141</v>
      </c>
      <c r="G221" s="1149" t="s">
        <v>187</v>
      </c>
    </row>
    <row r="222" spans="1:7" outlineLevel="1">
      <c r="A222" s="1149" t="s">
        <v>599</v>
      </c>
      <c r="B222" s="1149" t="s">
        <v>193</v>
      </c>
      <c r="C222" s="1149" t="s">
        <v>194</v>
      </c>
      <c r="D222" s="1149" t="s">
        <v>99</v>
      </c>
      <c r="E222" s="1150" t="s">
        <v>733</v>
      </c>
      <c r="F222" s="1149" t="s">
        <v>141</v>
      </c>
      <c r="G222" s="1149" t="s">
        <v>187</v>
      </c>
    </row>
    <row r="223" spans="1:7" outlineLevel="1">
      <c r="A223" s="1149" t="s">
        <v>375</v>
      </c>
      <c r="B223" s="1149" t="s">
        <v>127</v>
      </c>
      <c r="C223" s="1149" t="s">
        <v>271</v>
      </c>
      <c r="D223" s="1149" t="s">
        <v>273</v>
      </c>
      <c r="E223" s="1150" t="s">
        <v>732</v>
      </c>
      <c r="F223" s="1149" t="s">
        <v>147</v>
      </c>
      <c r="G223" s="1149" t="s">
        <v>173</v>
      </c>
    </row>
    <row r="224" spans="1:7" outlineLevel="1">
      <c r="A224" s="1149" t="s">
        <v>604</v>
      </c>
      <c r="B224" s="1149" t="s">
        <v>195</v>
      </c>
      <c r="C224" s="1149" t="s">
        <v>196</v>
      </c>
      <c r="D224" s="1149" t="s">
        <v>99</v>
      </c>
      <c r="E224" s="1150" t="s">
        <v>237</v>
      </c>
      <c r="F224" s="1149" t="s">
        <v>131</v>
      </c>
      <c r="G224" s="1149" t="s">
        <v>187</v>
      </c>
    </row>
    <row r="225" spans="1:7" outlineLevel="1">
      <c r="A225" s="1149" t="s">
        <v>139</v>
      </c>
      <c r="B225" s="1149" t="s">
        <v>138</v>
      </c>
      <c r="C225" s="1149" t="s">
        <v>139</v>
      </c>
      <c r="D225" s="1149" t="s">
        <v>99</v>
      </c>
      <c r="E225" s="1150" t="s">
        <v>275</v>
      </c>
      <c r="F225" s="1149" t="s">
        <v>141</v>
      </c>
      <c r="G225" s="1149" t="s">
        <v>187</v>
      </c>
    </row>
    <row r="226" spans="1:7" outlineLevel="1">
      <c r="A226" s="1149" t="s">
        <v>402</v>
      </c>
      <c r="B226" s="1149" t="s">
        <v>138</v>
      </c>
      <c r="C226" s="1149" t="s">
        <v>139</v>
      </c>
      <c r="D226" s="1149" t="s">
        <v>99</v>
      </c>
      <c r="E226" s="1150" t="s">
        <v>275</v>
      </c>
      <c r="F226" s="1149" t="s">
        <v>141</v>
      </c>
      <c r="G226" s="1149" t="s">
        <v>187</v>
      </c>
    </row>
    <row r="227" spans="1:7" outlineLevel="1">
      <c r="A227" s="1149" t="s">
        <v>605</v>
      </c>
      <c r="B227" s="1149" t="s">
        <v>195</v>
      </c>
      <c r="C227" s="1149" t="s">
        <v>196</v>
      </c>
      <c r="D227" s="1149" t="s">
        <v>99</v>
      </c>
      <c r="E227" s="1150" t="s">
        <v>237</v>
      </c>
      <c r="F227" s="1149" t="s">
        <v>131</v>
      </c>
      <c r="G227" s="1149" t="s">
        <v>187</v>
      </c>
    </row>
    <row r="228" spans="1:7" outlineLevel="1">
      <c r="A228" s="1149" t="s">
        <v>600</v>
      </c>
      <c r="B228" s="1149" t="s">
        <v>193</v>
      </c>
      <c r="C228" s="1149" t="s">
        <v>194</v>
      </c>
      <c r="D228" s="1149" t="s">
        <v>99</v>
      </c>
      <c r="E228" s="1150" t="s">
        <v>733</v>
      </c>
      <c r="F228" s="1149" t="s">
        <v>141</v>
      </c>
      <c r="G228" s="1149" t="s">
        <v>187</v>
      </c>
    </row>
    <row r="229" spans="1:7" outlineLevel="1">
      <c r="A229" s="1149" t="s">
        <v>528</v>
      </c>
      <c r="B229" s="1149" t="s">
        <v>176</v>
      </c>
      <c r="C229" s="1149" t="s">
        <v>272</v>
      </c>
      <c r="D229" s="1149" t="s">
        <v>99</v>
      </c>
      <c r="E229" s="1150" t="s">
        <v>277</v>
      </c>
      <c r="F229" s="1149" t="s">
        <v>1238</v>
      </c>
      <c r="G229" s="1149" t="s">
        <v>187</v>
      </c>
    </row>
    <row r="230" spans="1:7" outlineLevel="1">
      <c r="A230" s="1149" t="s">
        <v>722</v>
      </c>
      <c r="B230" s="1149" t="s">
        <v>214</v>
      </c>
      <c r="C230" s="1149" t="s">
        <v>215</v>
      </c>
      <c r="D230" s="1149" t="s">
        <v>273</v>
      </c>
      <c r="E230" s="1150" t="s">
        <v>732</v>
      </c>
      <c r="F230" s="1149" t="s">
        <v>147</v>
      </c>
      <c r="G230" s="1149" t="s">
        <v>173</v>
      </c>
    </row>
    <row r="231" spans="1:7" outlineLevel="1">
      <c r="A231" s="1149" t="s">
        <v>529</v>
      </c>
      <c r="B231" s="1149" t="s">
        <v>176</v>
      </c>
      <c r="C231" s="1149" t="s">
        <v>272</v>
      </c>
      <c r="D231" s="1149" t="s">
        <v>99</v>
      </c>
      <c r="E231" s="1150" t="s">
        <v>277</v>
      </c>
      <c r="F231" s="1149" t="s">
        <v>1238</v>
      </c>
      <c r="G231" s="1149" t="s">
        <v>187</v>
      </c>
    </row>
    <row r="232" spans="1:7" outlineLevel="1">
      <c r="A232" s="1149" t="s">
        <v>578</v>
      </c>
      <c r="B232" s="1149" t="s">
        <v>188</v>
      </c>
      <c r="C232" s="1149" t="s">
        <v>579</v>
      </c>
      <c r="D232" s="1149" t="s">
        <v>273</v>
      </c>
      <c r="E232" s="1150" t="s">
        <v>275</v>
      </c>
      <c r="F232" s="1149" t="s">
        <v>147</v>
      </c>
      <c r="G232" s="1149" t="s">
        <v>173</v>
      </c>
    </row>
    <row r="233" spans="1:7" outlineLevel="1">
      <c r="A233" s="1149" t="s">
        <v>606</v>
      </c>
      <c r="B233" s="1149" t="s">
        <v>195</v>
      </c>
      <c r="C233" s="1149" t="s">
        <v>196</v>
      </c>
      <c r="D233" s="1149" t="s">
        <v>99</v>
      </c>
      <c r="E233" s="1150" t="s">
        <v>237</v>
      </c>
      <c r="F233" s="1149" t="s">
        <v>131</v>
      </c>
      <c r="G233" s="1149" t="s">
        <v>187</v>
      </c>
    </row>
    <row r="234" spans="1:7" outlineLevel="1">
      <c r="A234" s="1149" t="s">
        <v>607</v>
      </c>
      <c r="B234" s="1149" t="s">
        <v>195</v>
      </c>
      <c r="C234" s="1149" t="s">
        <v>196</v>
      </c>
      <c r="D234" s="1149" t="s">
        <v>99</v>
      </c>
      <c r="E234" s="1150" t="s">
        <v>237</v>
      </c>
      <c r="F234" s="1149" t="s">
        <v>131</v>
      </c>
      <c r="G234" s="1149" t="s">
        <v>187</v>
      </c>
    </row>
    <row r="235" spans="1:7" outlineLevel="1">
      <c r="A235" s="1149" t="s">
        <v>608</v>
      </c>
      <c r="B235" s="1149" t="s">
        <v>195</v>
      </c>
      <c r="C235" s="1149" t="s">
        <v>196</v>
      </c>
      <c r="D235" s="1149" t="s">
        <v>99</v>
      </c>
      <c r="E235" s="1150" t="s">
        <v>237</v>
      </c>
      <c r="F235" s="1149" t="s">
        <v>131</v>
      </c>
      <c r="G235" s="1149" t="s">
        <v>187</v>
      </c>
    </row>
    <row r="236" spans="1:7" outlineLevel="1">
      <c r="A236" s="1149" t="s">
        <v>141</v>
      </c>
      <c r="B236" s="1149" t="s">
        <v>140</v>
      </c>
      <c r="C236" s="1149" t="s">
        <v>141</v>
      </c>
      <c r="D236" s="1149" t="s">
        <v>99</v>
      </c>
      <c r="E236" s="1150" t="s">
        <v>275</v>
      </c>
      <c r="F236" s="1149" t="str">
        <f>IF('Copy &amp; Paste'!I1="BEK Schade","Dortmund","Düsseldorf")</f>
        <v>Düsseldorf</v>
      </c>
      <c r="G236" s="1149" t="s">
        <v>187</v>
      </c>
    </row>
    <row r="237" spans="1:7" outlineLevel="1">
      <c r="A237" s="1149" t="s">
        <v>708</v>
      </c>
      <c r="B237" s="1149" t="s">
        <v>212</v>
      </c>
      <c r="C237" s="1149" t="s">
        <v>213</v>
      </c>
      <c r="D237" s="1149" t="s">
        <v>99</v>
      </c>
      <c r="E237" s="1150" t="s">
        <v>237</v>
      </c>
      <c r="F237" s="1149" t="s">
        <v>131</v>
      </c>
      <c r="G237" s="1149" t="s">
        <v>187</v>
      </c>
    </row>
    <row r="238" spans="1:7" outlineLevel="1">
      <c r="A238" s="1149" t="s">
        <v>586</v>
      </c>
      <c r="B238" s="1149" t="s">
        <v>191</v>
      </c>
      <c r="C238" s="1149" t="s">
        <v>192</v>
      </c>
      <c r="D238" s="1149" t="s">
        <v>99</v>
      </c>
      <c r="E238" s="1150" t="s">
        <v>733</v>
      </c>
      <c r="F238" s="1149" t="s">
        <v>141</v>
      </c>
      <c r="G238" s="1149" t="s">
        <v>187</v>
      </c>
    </row>
    <row r="239" spans="1:7" outlineLevel="1">
      <c r="A239" s="1149" t="s">
        <v>587</v>
      </c>
      <c r="B239" s="1149" t="s">
        <v>191</v>
      </c>
      <c r="C239" s="1149" t="s">
        <v>192</v>
      </c>
      <c r="D239" s="1149" t="s">
        <v>99</v>
      </c>
      <c r="E239" s="1150" t="s">
        <v>733</v>
      </c>
      <c r="F239" s="1149" t="s">
        <v>141</v>
      </c>
      <c r="G239" s="1149" t="s">
        <v>187</v>
      </c>
    </row>
    <row r="240" spans="1:7" outlineLevel="1">
      <c r="A240" s="1149" t="s">
        <v>143</v>
      </c>
      <c r="B240" s="1149" t="s">
        <v>142</v>
      </c>
      <c r="C240" s="1149" t="s">
        <v>143</v>
      </c>
      <c r="D240" s="1149" t="s">
        <v>273</v>
      </c>
      <c r="E240" s="1150" t="s">
        <v>732</v>
      </c>
      <c r="F240" s="1149" t="s">
        <v>147</v>
      </c>
      <c r="G240" s="1149" t="s">
        <v>173</v>
      </c>
    </row>
    <row r="241" spans="1:7" outlineLevel="1">
      <c r="A241" s="1149" t="s">
        <v>403</v>
      </c>
      <c r="B241" s="1149" t="s">
        <v>138</v>
      </c>
      <c r="C241" s="1149" t="s">
        <v>139</v>
      </c>
      <c r="D241" s="1149" t="s">
        <v>99</v>
      </c>
      <c r="E241" s="1150" t="s">
        <v>275</v>
      </c>
      <c r="F241" s="1149" t="s">
        <v>141</v>
      </c>
      <c r="G241" s="1149" t="s">
        <v>187</v>
      </c>
    </row>
    <row r="242" spans="1:7" outlineLevel="1">
      <c r="A242" s="1149" t="s">
        <v>404</v>
      </c>
      <c r="B242" s="1149" t="s">
        <v>138</v>
      </c>
      <c r="C242" s="1149" t="s">
        <v>139</v>
      </c>
      <c r="D242" s="1149" t="s">
        <v>99</v>
      </c>
      <c r="E242" s="1150" t="s">
        <v>275</v>
      </c>
      <c r="F242" s="1149" t="s">
        <v>141</v>
      </c>
      <c r="G242" s="1149" t="s">
        <v>187</v>
      </c>
    </row>
    <row r="243" spans="1:7" outlineLevel="1">
      <c r="A243" s="1149" t="s">
        <v>405</v>
      </c>
      <c r="B243" s="1149" t="s">
        <v>138</v>
      </c>
      <c r="C243" s="1149" t="s">
        <v>139</v>
      </c>
      <c r="D243" s="1149" t="s">
        <v>99</v>
      </c>
      <c r="E243" s="1150" t="s">
        <v>275</v>
      </c>
      <c r="F243" s="1149" t="s">
        <v>141</v>
      </c>
      <c r="G243" s="1149" t="s">
        <v>187</v>
      </c>
    </row>
    <row r="244" spans="1:7" outlineLevel="1">
      <c r="A244" s="1149" t="s">
        <v>145</v>
      </c>
      <c r="B244" s="1149" t="s">
        <v>144</v>
      </c>
      <c r="C244" s="1149" t="s">
        <v>145</v>
      </c>
      <c r="D244" s="1149" t="s">
        <v>273</v>
      </c>
      <c r="E244" s="1150" t="s">
        <v>275</v>
      </c>
      <c r="F244" s="1149" t="s">
        <v>147</v>
      </c>
      <c r="G244" s="1149" t="s">
        <v>173</v>
      </c>
    </row>
    <row r="245" spans="1:7" outlineLevel="1">
      <c r="A245" s="1149" t="s">
        <v>147</v>
      </c>
      <c r="B245" s="1149" t="s">
        <v>146</v>
      </c>
      <c r="C245" s="1149" t="s">
        <v>147</v>
      </c>
      <c r="D245" s="1149" t="s">
        <v>273</v>
      </c>
      <c r="E245" s="1150" t="s">
        <v>732</v>
      </c>
      <c r="F245" s="1149" t="s">
        <v>147</v>
      </c>
      <c r="G245" s="1149" t="s">
        <v>173</v>
      </c>
    </row>
    <row r="246" spans="1:7" outlineLevel="1">
      <c r="A246" s="1149" t="s">
        <v>620</v>
      </c>
      <c r="B246" s="1149" t="s">
        <v>199</v>
      </c>
      <c r="C246" s="1149" t="s">
        <v>617</v>
      </c>
      <c r="D246" s="1149" t="s">
        <v>273</v>
      </c>
      <c r="E246" s="1150" t="s">
        <v>275</v>
      </c>
      <c r="F246" s="1149" t="s">
        <v>147</v>
      </c>
      <c r="G246" s="1149" t="s">
        <v>173</v>
      </c>
    </row>
    <row r="247" spans="1:7" outlineLevel="1">
      <c r="A247" s="1149" t="s">
        <v>368</v>
      </c>
      <c r="B247" s="1149" t="s">
        <v>126</v>
      </c>
      <c r="C247" s="1149" t="s">
        <v>270</v>
      </c>
      <c r="D247" s="1149" t="s">
        <v>273</v>
      </c>
      <c r="E247" s="1150" t="s">
        <v>277</v>
      </c>
      <c r="F247" s="1149" t="s">
        <v>1238</v>
      </c>
      <c r="G247" s="1149" t="s">
        <v>173</v>
      </c>
    </row>
    <row r="248" spans="1:7" outlineLevel="1">
      <c r="A248" s="1149" t="s">
        <v>511</v>
      </c>
      <c r="B248" s="1149" t="s">
        <v>171</v>
      </c>
      <c r="C248" s="1149" t="s">
        <v>172</v>
      </c>
      <c r="D248" s="1149" t="s">
        <v>273</v>
      </c>
      <c r="E248" s="1150" t="s">
        <v>732</v>
      </c>
      <c r="F248" s="1149" t="s">
        <v>147</v>
      </c>
      <c r="G248" s="1149" t="s">
        <v>173</v>
      </c>
    </row>
    <row r="249" spans="1:7" outlineLevel="1">
      <c r="A249" s="1149" t="s">
        <v>666</v>
      </c>
      <c r="B249" s="1149" t="s">
        <v>206</v>
      </c>
      <c r="C249" s="1149" t="s">
        <v>207</v>
      </c>
      <c r="D249" s="1149" t="s">
        <v>99</v>
      </c>
      <c r="E249" s="1150" t="s">
        <v>237</v>
      </c>
      <c r="F249" s="1149" t="s">
        <v>131</v>
      </c>
      <c r="G249" s="1149" t="s">
        <v>187</v>
      </c>
    </row>
    <row r="250" spans="1:7" outlineLevel="1">
      <c r="A250" s="1149" t="s">
        <v>446</v>
      </c>
      <c r="B250" s="1149" t="s">
        <v>154</v>
      </c>
      <c r="C250" s="1149" t="s">
        <v>445</v>
      </c>
      <c r="D250" s="1149" t="s">
        <v>273</v>
      </c>
      <c r="E250" s="1150" t="s">
        <v>275</v>
      </c>
      <c r="F250" s="1149" t="s">
        <v>147</v>
      </c>
      <c r="G250" s="1149" t="s">
        <v>173</v>
      </c>
    </row>
    <row r="251" spans="1:7" outlineLevel="1">
      <c r="A251" s="1149" t="s">
        <v>481</v>
      </c>
      <c r="B251" s="1149" t="s">
        <v>164</v>
      </c>
      <c r="C251" s="1149" t="s">
        <v>165</v>
      </c>
      <c r="D251" s="1149" t="s">
        <v>99</v>
      </c>
      <c r="E251" s="1150" t="s">
        <v>733</v>
      </c>
      <c r="F251" s="1149" t="s">
        <v>141</v>
      </c>
      <c r="G251" s="1149" t="s">
        <v>187</v>
      </c>
    </row>
    <row r="252" spans="1:7" outlineLevel="1">
      <c r="A252" s="1149" t="s">
        <v>430</v>
      </c>
      <c r="B252" s="1149" t="s">
        <v>148</v>
      </c>
      <c r="C252" s="1149" t="s">
        <v>267</v>
      </c>
      <c r="D252" s="1149" t="s">
        <v>99</v>
      </c>
      <c r="E252" s="1150" t="s">
        <v>276</v>
      </c>
      <c r="F252" s="1149" t="s">
        <v>149</v>
      </c>
      <c r="G252" s="1149" t="s">
        <v>187</v>
      </c>
    </row>
    <row r="253" spans="1:7" outlineLevel="1">
      <c r="A253" s="1149" t="s">
        <v>709</v>
      </c>
      <c r="B253" s="1149" t="s">
        <v>212</v>
      </c>
      <c r="C253" s="1149" t="s">
        <v>213</v>
      </c>
      <c r="D253" s="1149" t="s">
        <v>99</v>
      </c>
      <c r="E253" s="1150" t="s">
        <v>237</v>
      </c>
      <c r="F253" s="1149" t="s">
        <v>131</v>
      </c>
      <c r="G253" s="1149" t="s">
        <v>187</v>
      </c>
    </row>
    <row r="254" spans="1:7" outlineLevel="1">
      <c r="A254" s="1149" t="s">
        <v>649</v>
      </c>
      <c r="B254" s="1149" t="s">
        <v>202</v>
      </c>
      <c r="C254" s="1149" t="s">
        <v>203</v>
      </c>
      <c r="D254" s="1149" t="s">
        <v>99</v>
      </c>
      <c r="E254" s="1150" t="s">
        <v>277</v>
      </c>
      <c r="F254" s="1149" t="s">
        <v>1238</v>
      </c>
      <c r="G254" s="1149" t="s">
        <v>187</v>
      </c>
    </row>
    <row r="255" spans="1:7" outlineLevel="1">
      <c r="A255" s="1149" t="s">
        <v>369</v>
      </c>
      <c r="B255" s="1149" t="s">
        <v>126</v>
      </c>
      <c r="C255" s="1149" t="s">
        <v>270</v>
      </c>
      <c r="D255" s="1149" t="s">
        <v>273</v>
      </c>
      <c r="E255" s="1150" t="s">
        <v>277</v>
      </c>
      <c r="F255" s="1149" t="s">
        <v>1238</v>
      </c>
      <c r="G255" s="1149" t="s">
        <v>173</v>
      </c>
    </row>
    <row r="256" spans="1:7" outlineLevel="1">
      <c r="A256" s="1149" t="s">
        <v>471</v>
      </c>
      <c r="B256" s="1149" t="s">
        <v>162</v>
      </c>
      <c r="C256" s="1149" t="s">
        <v>163</v>
      </c>
      <c r="D256" s="1149" t="s">
        <v>273</v>
      </c>
      <c r="E256" s="1150" t="s">
        <v>275</v>
      </c>
      <c r="F256" s="1149" t="s">
        <v>147</v>
      </c>
      <c r="G256" s="1149" t="s">
        <v>173</v>
      </c>
    </row>
    <row r="257" spans="1:7" outlineLevel="1">
      <c r="A257" s="1149" t="s">
        <v>558</v>
      </c>
      <c r="B257" s="1149" t="s">
        <v>180</v>
      </c>
      <c r="C257" s="1149" t="s">
        <v>181</v>
      </c>
      <c r="D257" s="1149" t="s">
        <v>273</v>
      </c>
      <c r="E257" s="1150" t="s">
        <v>732</v>
      </c>
      <c r="F257" s="1149" t="s">
        <v>147</v>
      </c>
      <c r="G257" s="1149" t="s">
        <v>173</v>
      </c>
    </row>
    <row r="258" spans="1:7" outlineLevel="1">
      <c r="A258" s="1149" t="s">
        <v>638</v>
      </c>
      <c r="B258" s="1149" t="s">
        <v>200</v>
      </c>
      <c r="C258" s="1149" t="s">
        <v>201</v>
      </c>
      <c r="D258" s="1149" t="s">
        <v>99</v>
      </c>
      <c r="E258" s="1150" t="s">
        <v>275</v>
      </c>
      <c r="F258" s="1149" t="s">
        <v>141</v>
      </c>
      <c r="G258" s="1149" t="s">
        <v>187</v>
      </c>
    </row>
    <row r="259" spans="1:7" outlineLevel="1">
      <c r="A259" s="1149" t="s">
        <v>650</v>
      </c>
      <c r="B259" s="1149" t="s">
        <v>202</v>
      </c>
      <c r="C259" s="1149" t="s">
        <v>203</v>
      </c>
      <c r="D259" s="1149" t="s">
        <v>99</v>
      </c>
      <c r="E259" s="1150" t="s">
        <v>277</v>
      </c>
      <c r="F259" s="1149" t="s">
        <v>1238</v>
      </c>
      <c r="G259" s="1149" t="s">
        <v>187</v>
      </c>
    </row>
    <row r="260" spans="1:7" outlineLevel="1">
      <c r="A260" s="1151" t="s">
        <v>358</v>
      </c>
      <c r="B260" s="1149" t="s">
        <v>124</v>
      </c>
      <c r="C260" s="1151" t="s">
        <v>125</v>
      </c>
      <c r="D260" s="1149" t="s">
        <v>273</v>
      </c>
      <c r="E260" s="1150" t="s">
        <v>732</v>
      </c>
      <c r="F260" s="1149" t="s">
        <v>147</v>
      </c>
      <c r="G260" s="1149" t="s">
        <v>173</v>
      </c>
    </row>
    <row r="261" spans="1:7" outlineLevel="1">
      <c r="A261" s="1149" t="s">
        <v>502</v>
      </c>
      <c r="B261" s="1149" t="s">
        <v>168</v>
      </c>
      <c r="C261" s="1149" t="s">
        <v>168</v>
      </c>
      <c r="D261" s="1149" t="s">
        <v>99</v>
      </c>
      <c r="E261" s="1150" t="s">
        <v>733</v>
      </c>
      <c r="F261" s="1149" t="s">
        <v>141</v>
      </c>
      <c r="G261" s="1149" t="s">
        <v>187</v>
      </c>
    </row>
    <row r="262" spans="1:7" outlineLevel="1">
      <c r="A262" s="1149" t="s">
        <v>568</v>
      </c>
      <c r="B262" s="1149" t="s">
        <v>182</v>
      </c>
      <c r="C262" s="1149" t="s">
        <v>269</v>
      </c>
      <c r="D262" s="1149" t="s">
        <v>99</v>
      </c>
      <c r="E262" s="1150" t="s">
        <v>277</v>
      </c>
      <c r="F262" s="1149" t="s">
        <v>1238</v>
      </c>
      <c r="G262" s="1149" t="s">
        <v>187</v>
      </c>
    </row>
    <row r="263" spans="1:7" outlineLevel="1">
      <c r="A263" s="1149" t="s">
        <v>149</v>
      </c>
      <c r="B263" s="1149" t="s">
        <v>436</v>
      </c>
      <c r="C263" s="1149" t="s">
        <v>149</v>
      </c>
      <c r="D263" s="1149" t="s">
        <v>273</v>
      </c>
      <c r="E263" s="1150" t="s">
        <v>732</v>
      </c>
      <c r="F263" s="1149" t="s">
        <v>147</v>
      </c>
      <c r="G263" s="1149" t="s">
        <v>173</v>
      </c>
    </row>
    <row r="264" spans="1:7" outlineLevel="1">
      <c r="A264" s="1149" t="s">
        <v>151</v>
      </c>
      <c r="B264" s="1149" t="s">
        <v>150</v>
      </c>
      <c r="C264" s="1149" t="s">
        <v>151</v>
      </c>
      <c r="D264" s="1149" t="s">
        <v>273</v>
      </c>
      <c r="E264" s="1150" t="s">
        <v>277</v>
      </c>
      <c r="F264" s="1149" t="s">
        <v>1238</v>
      </c>
      <c r="G264" s="1149" t="s">
        <v>173</v>
      </c>
    </row>
    <row r="265" spans="1:7" outlineLevel="1">
      <c r="A265" s="1149" t="s">
        <v>710</v>
      </c>
      <c r="B265" s="1149" t="s">
        <v>212</v>
      </c>
      <c r="C265" s="1149" t="s">
        <v>213</v>
      </c>
      <c r="D265" s="1149" t="s">
        <v>99</v>
      </c>
      <c r="E265" s="1150" t="s">
        <v>237</v>
      </c>
      <c r="F265" s="1149" t="s">
        <v>131</v>
      </c>
      <c r="G265" s="1149" t="s">
        <v>187</v>
      </c>
    </row>
    <row r="266" spans="1:7" outlineLevel="1">
      <c r="A266" s="1149" t="s">
        <v>530</v>
      </c>
      <c r="B266" s="1149" t="s">
        <v>176</v>
      </c>
      <c r="C266" s="1149" t="s">
        <v>272</v>
      </c>
      <c r="D266" s="1149" t="s">
        <v>99</v>
      </c>
      <c r="E266" s="1150" t="s">
        <v>277</v>
      </c>
      <c r="F266" s="1149" t="s">
        <v>1238</v>
      </c>
      <c r="G266" s="1149" t="s">
        <v>187</v>
      </c>
    </row>
    <row r="267" spans="1:7" outlineLevel="1">
      <c r="A267" s="1149" t="s">
        <v>588</v>
      </c>
      <c r="B267" s="1149" t="s">
        <v>191</v>
      </c>
      <c r="C267" s="1149" t="s">
        <v>192</v>
      </c>
      <c r="D267" s="1149" t="s">
        <v>99</v>
      </c>
      <c r="E267" s="1150" t="s">
        <v>733</v>
      </c>
      <c r="F267" s="1149" t="s">
        <v>141</v>
      </c>
      <c r="G267" s="1149" t="s">
        <v>187</v>
      </c>
    </row>
    <row r="268" spans="1:7" outlineLevel="1">
      <c r="A268" s="1149" t="s">
        <v>370</v>
      </c>
      <c r="B268" s="1149" t="s">
        <v>126</v>
      </c>
      <c r="C268" s="1149" t="s">
        <v>270</v>
      </c>
      <c r="D268" s="1149" t="s">
        <v>273</v>
      </c>
      <c r="E268" s="1150" t="s">
        <v>277</v>
      </c>
      <c r="F268" s="1149" t="s">
        <v>1238</v>
      </c>
      <c r="G268" s="1149" t="s">
        <v>173</v>
      </c>
    </row>
    <row r="269" spans="1:7" outlineLevel="1">
      <c r="A269" s="1149" t="s">
        <v>639</v>
      </c>
      <c r="B269" s="1149" t="s">
        <v>200</v>
      </c>
      <c r="C269" s="1149" t="s">
        <v>201</v>
      </c>
      <c r="D269" s="1149" t="s">
        <v>99</v>
      </c>
      <c r="E269" s="1150" t="s">
        <v>275</v>
      </c>
      <c r="F269" s="1149" t="s">
        <v>141</v>
      </c>
      <c r="G269" s="1149" t="s">
        <v>187</v>
      </c>
    </row>
    <row r="270" spans="1:7" outlineLevel="1">
      <c r="A270" s="1149" t="s">
        <v>640</v>
      </c>
      <c r="B270" s="1149" t="s">
        <v>200</v>
      </c>
      <c r="C270" s="1149" t="s">
        <v>201</v>
      </c>
      <c r="D270" s="1149" t="s">
        <v>99</v>
      </c>
      <c r="E270" s="1150" t="s">
        <v>275</v>
      </c>
      <c r="F270" s="1149" t="s">
        <v>141</v>
      </c>
      <c r="G270" s="1149" t="s">
        <v>187</v>
      </c>
    </row>
    <row r="271" spans="1:7" outlineLevel="1">
      <c r="A271" s="1149" t="s">
        <v>689</v>
      </c>
      <c r="B271" s="1149" t="s">
        <v>208</v>
      </c>
      <c r="C271" s="1149" t="s">
        <v>209</v>
      </c>
      <c r="D271" s="1149" t="s">
        <v>99</v>
      </c>
      <c r="E271" s="1150" t="s">
        <v>276</v>
      </c>
      <c r="F271" s="1149" t="s">
        <v>149</v>
      </c>
      <c r="G271" s="1149" t="s">
        <v>187</v>
      </c>
    </row>
    <row r="272" spans="1:7" outlineLevel="1">
      <c r="A272" s="1149" t="s">
        <v>472</v>
      </c>
      <c r="B272" s="1149" t="s">
        <v>162</v>
      </c>
      <c r="C272" s="1149" t="s">
        <v>163</v>
      </c>
      <c r="D272" s="1149" t="s">
        <v>273</v>
      </c>
      <c r="E272" s="1150" t="s">
        <v>275</v>
      </c>
      <c r="F272" s="1149" t="s">
        <v>147</v>
      </c>
      <c r="G272" s="1149" t="s">
        <v>173</v>
      </c>
    </row>
    <row r="273" spans="1:7" outlineLevel="1">
      <c r="A273" s="1149" t="s">
        <v>473</v>
      </c>
      <c r="B273" s="1149" t="s">
        <v>162</v>
      </c>
      <c r="C273" s="1149" t="s">
        <v>163</v>
      </c>
      <c r="D273" s="1149" t="s">
        <v>273</v>
      </c>
      <c r="E273" s="1150" t="s">
        <v>275</v>
      </c>
      <c r="F273" s="1149" t="s">
        <v>147</v>
      </c>
      <c r="G273" s="1149" t="s">
        <v>173</v>
      </c>
    </row>
    <row r="274" spans="1:7" outlineLevel="1">
      <c r="A274" s="1149" t="s">
        <v>512</v>
      </c>
      <c r="B274" s="1149" t="s">
        <v>171</v>
      </c>
      <c r="C274" s="1149" t="s">
        <v>172</v>
      </c>
      <c r="D274" s="1149" t="s">
        <v>273</v>
      </c>
      <c r="E274" s="1150" t="s">
        <v>732</v>
      </c>
      <c r="F274" s="1149" t="s">
        <v>147</v>
      </c>
      <c r="G274" s="1149" t="s">
        <v>173</v>
      </c>
    </row>
    <row r="275" spans="1:7" outlineLevel="1">
      <c r="A275" s="1149" t="s">
        <v>153</v>
      </c>
      <c r="B275" s="1149" t="s">
        <v>152</v>
      </c>
      <c r="C275" s="1149" t="s">
        <v>153</v>
      </c>
      <c r="D275" s="1149" t="s">
        <v>99</v>
      </c>
      <c r="E275" s="1150" t="s">
        <v>733</v>
      </c>
      <c r="F275" s="1149" t="s">
        <v>141</v>
      </c>
      <c r="G275" s="1149" t="s">
        <v>187</v>
      </c>
    </row>
    <row r="276" spans="1:7" outlineLevel="1">
      <c r="A276" s="1149" t="s">
        <v>384</v>
      </c>
      <c r="B276" s="1149" t="s">
        <v>134</v>
      </c>
      <c r="C276" s="1149" t="s">
        <v>135</v>
      </c>
      <c r="D276" s="1149" t="s">
        <v>99</v>
      </c>
      <c r="E276" s="1150" t="s">
        <v>275</v>
      </c>
      <c r="F276" s="1151" t="s">
        <v>141</v>
      </c>
      <c r="G276" s="1149" t="s">
        <v>187</v>
      </c>
    </row>
    <row r="277" spans="1:7" outlineLevel="1">
      <c r="A277" s="1149" t="s">
        <v>651</v>
      </c>
      <c r="B277" s="1149" t="s">
        <v>202</v>
      </c>
      <c r="C277" s="1149" t="s">
        <v>203</v>
      </c>
      <c r="D277" s="1149" t="s">
        <v>99</v>
      </c>
      <c r="E277" s="1150" t="s">
        <v>277</v>
      </c>
      <c r="F277" s="1149" t="s">
        <v>1238</v>
      </c>
      <c r="G277" s="1149" t="s">
        <v>187</v>
      </c>
    </row>
    <row r="278" spans="1:7" outlineLevel="1">
      <c r="A278" s="1149" t="s">
        <v>431</v>
      </c>
      <c r="B278" s="1149" t="s">
        <v>148</v>
      </c>
      <c r="C278" s="1149" t="s">
        <v>267</v>
      </c>
      <c r="D278" s="1149" t="s">
        <v>99</v>
      </c>
      <c r="E278" s="1150" t="s">
        <v>276</v>
      </c>
      <c r="F278" s="1149" t="s">
        <v>149</v>
      </c>
      <c r="G278" s="1149" t="s">
        <v>187</v>
      </c>
    </row>
    <row r="279" spans="1:7" outlineLevel="1">
      <c r="A279" s="1149" t="s">
        <v>609</v>
      </c>
      <c r="B279" s="1149" t="s">
        <v>195</v>
      </c>
      <c r="C279" s="1149" t="s">
        <v>196</v>
      </c>
      <c r="D279" s="1149" t="s">
        <v>99</v>
      </c>
      <c r="E279" s="1150" t="s">
        <v>237</v>
      </c>
      <c r="F279" s="1149" t="s">
        <v>131</v>
      </c>
      <c r="G279" s="1149" t="s">
        <v>187</v>
      </c>
    </row>
    <row r="280" spans="1:7" outlineLevel="1">
      <c r="A280" s="1149" t="s">
        <v>513</v>
      </c>
      <c r="B280" s="1149" t="s">
        <v>171</v>
      </c>
      <c r="C280" s="1149" t="s">
        <v>172</v>
      </c>
      <c r="D280" s="1149" t="s">
        <v>273</v>
      </c>
      <c r="E280" s="1150" t="s">
        <v>732</v>
      </c>
      <c r="F280" s="1149" t="s">
        <v>147</v>
      </c>
      <c r="G280" s="1149" t="s">
        <v>173</v>
      </c>
    </row>
    <row r="281" spans="1:7" outlineLevel="1">
      <c r="A281" s="1149" t="s">
        <v>698</v>
      </c>
      <c r="B281" s="1149" t="s">
        <v>210</v>
      </c>
      <c r="C281" s="1149" t="s">
        <v>211</v>
      </c>
      <c r="D281" s="1149" t="s">
        <v>273</v>
      </c>
      <c r="E281" s="1150" t="s">
        <v>276</v>
      </c>
      <c r="F281" s="1149" t="s">
        <v>149</v>
      </c>
      <c r="G281" s="1149" t="s">
        <v>173</v>
      </c>
    </row>
    <row r="282" spans="1:7" outlineLevel="1">
      <c r="A282" s="1149" t="s">
        <v>667</v>
      </c>
      <c r="B282" s="1149" t="s">
        <v>206</v>
      </c>
      <c r="C282" s="1149" t="s">
        <v>207</v>
      </c>
      <c r="D282" s="1149" t="s">
        <v>99</v>
      </c>
      <c r="E282" s="1150" t="s">
        <v>237</v>
      </c>
      <c r="F282" s="1149" t="s">
        <v>131</v>
      </c>
      <c r="G282" s="1149" t="s">
        <v>187</v>
      </c>
    </row>
    <row r="283" spans="1:7" outlineLevel="1">
      <c r="A283" s="1149" t="s">
        <v>580</v>
      </c>
      <c r="B283" s="1149" t="s">
        <v>188</v>
      </c>
      <c r="C283" s="1149" t="s">
        <v>579</v>
      </c>
      <c r="D283" s="1149" t="s">
        <v>273</v>
      </c>
      <c r="E283" s="1150" t="s">
        <v>275</v>
      </c>
      <c r="F283" s="1149" t="s">
        <v>147</v>
      </c>
      <c r="G283" s="1149" t="s">
        <v>173</v>
      </c>
    </row>
    <row r="284" spans="1:7" outlineLevel="1">
      <c r="A284" s="1149" t="s">
        <v>385</v>
      </c>
      <c r="B284" s="1149" t="s">
        <v>134</v>
      </c>
      <c r="C284" s="1149" t="s">
        <v>135</v>
      </c>
      <c r="D284" s="1149" t="s">
        <v>99</v>
      </c>
      <c r="E284" s="1150" t="s">
        <v>275</v>
      </c>
      <c r="F284" s="1151" t="s">
        <v>141</v>
      </c>
      <c r="G284" s="1149" t="s">
        <v>187</v>
      </c>
    </row>
    <row r="285" spans="1:7" outlineLevel="1">
      <c r="A285" s="1149" t="s">
        <v>386</v>
      </c>
      <c r="B285" s="1149" t="s">
        <v>134</v>
      </c>
      <c r="C285" s="1149" t="s">
        <v>135</v>
      </c>
      <c r="D285" s="1149" t="s">
        <v>99</v>
      </c>
      <c r="E285" s="1150" t="s">
        <v>275</v>
      </c>
      <c r="F285" s="1151" t="s">
        <v>141</v>
      </c>
      <c r="G285" s="1149" t="s">
        <v>187</v>
      </c>
    </row>
    <row r="286" spans="1:7" outlineLevel="1">
      <c r="A286" s="1149" t="s">
        <v>155</v>
      </c>
      <c r="B286" s="1149" t="s">
        <v>154</v>
      </c>
      <c r="C286" s="1149" t="s">
        <v>445</v>
      </c>
      <c r="D286" s="1149" t="s">
        <v>273</v>
      </c>
      <c r="E286" s="1150" t="s">
        <v>275</v>
      </c>
      <c r="F286" s="1149" t="s">
        <v>147</v>
      </c>
      <c r="G286" s="1149" t="s">
        <v>173</v>
      </c>
    </row>
    <row r="287" spans="1:7" outlineLevel="1">
      <c r="A287" s="1149" t="s">
        <v>157</v>
      </c>
      <c r="B287" s="1149" t="s">
        <v>156</v>
      </c>
      <c r="C287" s="1149" t="s">
        <v>157</v>
      </c>
      <c r="D287" s="1149" t="s">
        <v>99</v>
      </c>
      <c r="E287" s="1150" t="s">
        <v>733</v>
      </c>
      <c r="F287" s="1149" t="s">
        <v>141</v>
      </c>
      <c r="G287" s="1149" t="s">
        <v>187</v>
      </c>
    </row>
    <row r="288" spans="1:7" outlineLevel="1">
      <c r="A288" s="1149" t="s">
        <v>559</v>
      </c>
      <c r="B288" s="1149" t="s">
        <v>180</v>
      </c>
      <c r="C288" s="1149" t="s">
        <v>181</v>
      </c>
      <c r="D288" s="1149" t="s">
        <v>273</v>
      </c>
      <c r="E288" s="1150" t="s">
        <v>732</v>
      </c>
      <c r="F288" s="1149" t="s">
        <v>147</v>
      </c>
      <c r="G288" s="1149" t="s">
        <v>173</v>
      </c>
    </row>
    <row r="289" spans="1:7" outlineLevel="1">
      <c r="A289" s="1149" t="s">
        <v>159</v>
      </c>
      <c r="B289" s="1149" t="s">
        <v>158</v>
      </c>
      <c r="C289" s="1149" t="s">
        <v>159</v>
      </c>
      <c r="D289" s="1149" t="s">
        <v>99</v>
      </c>
      <c r="E289" s="1150" t="s">
        <v>733</v>
      </c>
      <c r="F289" s="1149" t="s">
        <v>141</v>
      </c>
      <c r="G289" s="1149" t="s">
        <v>187</v>
      </c>
    </row>
    <row r="290" spans="1:7" outlineLevel="1">
      <c r="A290" s="1149" t="s">
        <v>470</v>
      </c>
      <c r="B290" s="1149" t="s">
        <v>158</v>
      </c>
      <c r="C290" s="1149" t="s">
        <v>159</v>
      </c>
      <c r="D290" s="1149" t="s">
        <v>99</v>
      </c>
      <c r="E290" s="1150" t="s">
        <v>733</v>
      </c>
      <c r="F290" s="1149" t="s">
        <v>141</v>
      </c>
      <c r="G290" s="1149" t="s">
        <v>187</v>
      </c>
    </row>
    <row r="291" spans="1:7" outlineLevel="1">
      <c r="A291" s="1149" t="s">
        <v>458</v>
      </c>
      <c r="B291" s="1149" t="s">
        <v>156</v>
      </c>
      <c r="C291" s="1149" t="s">
        <v>157</v>
      </c>
      <c r="D291" s="1149" t="s">
        <v>99</v>
      </c>
      <c r="E291" s="1150" t="s">
        <v>733</v>
      </c>
      <c r="F291" s="1149" t="s">
        <v>141</v>
      </c>
      <c r="G291" s="1149" t="s">
        <v>187</v>
      </c>
    </row>
    <row r="292" spans="1:7" outlineLevel="1">
      <c r="A292" s="1149" t="s">
        <v>503</v>
      </c>
      <c r="B292" s="1149" t="s">
        <v>168</v>
      </c>
      <c r="C292" s="1149" t="s">
        <v>168</v>
      </c>
      <c r="D292" s="1149" t="s">
        <v>99</v>
      </c>
      <c r="E292" s="1150" t="s">
        <v>733</v>
      </c>
      <c r="F292" s="1149" t="s">
        <v>141</v>
      </c>
      <c r="G292" s="1149" t="s">
        <v>187</v>
      </c>
    </row>
    <row r="293" spans="1:7" outlineLevel="1">
      <c r="A293" s="1149" t="s">
        <v>610</v>
      </c>
      <c r="B293" s="1149" t="s">
        <v>195</v>
      </c>
      <c r="C293" s="1149" t="s">
        <v>196</v>
      </c>
      <c r="D293" s="1149" t="s">
        <v>99</v>
      </c>
      <c r="E293" s="1150" t="s">
        <v>237</v>
      </c>
      <c r="F293" s="1149" t="s">
        <v>131</v>
      </c>
      <c r="G293" s="1149" t="s">
        <v>187</v>
      </c>
    </row>
    <row r="294" spans="1:7" outlineLevel="1">
      <c r="A294" s="1149" t="s">
        <v>542</v>
      </c>
      <c r="B294" s="1149" t="s">
        <v>179</v>
      </c>
      <c r="C294" s="1149" t="s">
        <v>268</v>
      </c>
      <c r="D294" s="1149" t="s">
        <v>99</v>
      </c>
      <c r="E294" s="1150" t="s">
        <v>276</v>
      </c>
      <c r="F294" s="1149" t="s">
        <v>149</v>
      </c>
      <c r="G294" s="1149" t="s">
        <v>187</v>
      </c>
    </row>
    <row r="295" spans="1:7" outlineLevel="1">
      <c r="A295" s="1149" t="s">
        <v>161</v>
      </c>
      <c r="B295" s="1149" t="s">
        <v>160</v>
      </c>
      <c r="C295" s="1149" t="s">
        <v>161</v>
      </c>
      <c r="D295" s="1149" t="s">
        <v>99</v>
      </c>
      <c r="E295" s="1150" t="s">
        <v>275</v>
      </c>
      <c r="F295" s="1149" t="s">
        <v>141</v>
      </c>
      <c r="G295" s="1149" t="s">
        <v>187</v>
      </c>
    </row>
    <row r="296" spans="1:7" outlineLevel="1">
      <c r="A296" s="1149" t="s">
        <v>723</v>
      </c>
      <c r="B296" s="1149" t="s">
        <v>214</v>
      </c>
      <c r="C296" s="1149" t="s">
        <v>215</v>
      </c>
      <c r="D296" s="1149" t="s">
        <v>273</v>
      </c>
      <c r="E296" s="1150" t="s">
        <v>732</v>
      </c>
      <c r="F296" s="1149" t="s">
        <v>147</v>
      </c>
      <c r="G296" s="1149" t="s">
        <v>173</v>
      </c>
    </row>
    <row r="297" spans="1:7" outlineLevel="1">
      <c r="A297" s="1149" t="s">
        <v>459</v>
      </c>
      <c r="B297" s="1149" t="s">
        <v>156</v>
      </c>
      <c r="C297" s="1149" t="s">
        <v>157</v>
      </c>
      <c r="D297" s="1149" t="s">
        <v>99</v>
      </c>
      <c r="E297" s="1150" t="s">
        <v>733</v>
      </c>
      <c r="F297" s="1149" t="s">
        <v>141</v>
      </c>
      <c r="G297" s="1149" t="s">
        <v>187</v>
      </c>
    </row>
    <row r="298" spans="1:7" outlineLevel="1">
      <c r="A298" s="1149" t="s">
        <v>432</v>
      </c>
      <c r="B298" s="1149" t="s">
        <v>148</v>
      </c>
      <c r="C298" s="1149" t="s">
        <v>267</v>
      </c>
      <c r="D298" s="1149" t="s">
        <v>99</v>
      </c>
      <c r="E298" s="1150" t="s">
        <v>276</v>
      </c>
      <c r="F298" s="1149" t="s">
        <v>149</v>
      </c>
      <c r="G298" s="1149" t="s">
        <v>187</v>
      </c>
    </row>
    <row r="299" spans="1:7" outlineLevel="1">
      <c r="A299" s="1149" t="s">
        <v>406</v>
      </c>
      <c r="B299" s="1149" t="s">
        <v>138</v>
      </c>
      <c r="C299" s="1149" t="s">
        <v>139</v>
      </c>
      <c r="D299" s="1149" t="s">
        <v>99</v>
      </c>
      <c r="E299" s="1150" t="s">
        <v>275</v>
      </c>
      <c r="F299" s="1149" t="s">
        <v>141</v>
      </c>
      <c r="G299" s="1149" t="s">
        <v>187</v>
      </c>
    </row>
    <row r="300" spans="1:7" outlineLevel="1">
      <c r="A300" s="1149" t="s">
        <v>387</v>
      </c>
      <c r="B300" s="1149" t="s">
        <v>134</v>
      </c>
      <c r="C300" s="1149" t="s">
        <v>135</v>
      </c>
      <c r="D300" s="1149" t="s">
        <v>99</v>
      </c>
      <c r="E300" s="1150" t="s">
        <v>275</v>
      </c>
      <c r="F300" s="1151" t="s">
        <v>141</v>
      </c>
      <c r="G300" s="1149" t="s">
        <v>187</v>
      </c>
    </row>
    <row r="301" spans="1:7" outlineLevel="1">
      <c r="A301" s="1149" t="s">
        <v>388</v>
      </c>
      <c r="B301" s="1149" t="s">
        <v>134</v>
      </c>
      <c r="C301" s="1149" t="s">
        <v>135</v>
      </c>
      <c r="D301" s="1149" t="s">
        <v>99</v>
      </c>
      <c r="E301" s="1150" t="s">
        <v>275</v>
      </c>
      <c r="F301" s="1151" t="s">
        <v>141</v>
      </c>
      <c r="G301" s="1149" t="s">
        <v>187</v>
      </c>
    </row>
    <row r="302" spans="1:7" outlineLevel="1">
      <c r="A302" s="1149" t="s">
        <v>560</v>
      </c>
      <c r="B302" s="1149" t="s">
        <v>180</v>
      </c>
      <c r="C302" s="1149" t="s">
        <v>181</v>
      </c>
      <c r="D302" s="1149" t="s">
        <v>273</v>
      </c>
      <c r="E302" s="1150" t="s">
        <v>732</v>
      </c>
      <c r="F302" s="1149" t="s">
        <v>147</v>
      </c>
      <c r="G302" s="1149" t="s">
        <v>173</v>
      </c>
    </row>
    <row r="303" spans="1:7" outlineLevel="1">
      <c r="A303" s="1149" t="s">
        <v>414</v>
      </c>
      <c r="B303" s="1149" t="s">
        <v>144</v>
      </c>
      <c r="C303" s="1149" t="s">
        <v>145</v>
      </c>
      <c r="D303" s="1149" t="s">
        <v>273</v>
      </c>
      <c r="E303" s="1150" t="s">
        <v>275</v>
      </c>
      <c r="F303" s="1149" t="s">
        <v>147</v>
      </c>
      <c r="G303" s="1149" t="s">
        <v>173</v>
      </c>
    </row>
    <row r="304" spans="1:7" outlineLevel="1">
      <c r="A304" s="1149" t="s">
        <v>163</v>
      </c>
      <c r="B304" s="1149" t="s">
        <v>162</v>
      </c>
      <c r="C304" s="1149" t="s">
        <v>163</v>
      </c>
      <c r="D304" s="1149" t="s">
        <v>273</v>
      </c>
      <c r="E304" s="1150" t="s">
        <v>275</v>
      </c>
      <c r="F304" s="1149" t="s">
        <v>147</v>
      </c>
      <c r="G304" s="1149" t="s">
        <v>173</v>
      </c>
    </row>
    <row r="305" spans="1:7" outlineLevel="1">
      <c r="A305" s="1149" t="s">
        <v>543</v>
      </c>
      <c r="B305" s="1149" t="s">
        <v>179</v>
      </c>
      <c r="C305" s="1149" t="s">
        <v>268</v>
      </c>
      <c r="D305" s="1149" t="s">
        <v>99</v>
      </c>
      <c r="E305" s="1150" t="s">
        <v>276</v>
      </c>
      <c r="F305" s="1149" t="s">
        <v>149</v>
      </c>
      <c r="G305" s="1149" t="s">
        <v>187</v>
      </c>
    </row>
    <row r="306" spans="1:7" outlineLevel="1">
      <c r="A306" s="1149" t="s">
        <v>544</v>
      </c>
      <c r="B306" s="1149" t="s">
        <v>179</v>
      </c>
      <c r="C306" s="1149" t="s">
        <v>268</v>
      </c>
      <c r="D306" s="1149" t="s">
        <v>99</v>
      </c>
      <c r="E306" s="1150" t="s">
        <v>276</v>
      </c>
      <c r="F306" s="1149" t="s">
        <v>149</v>
      </c>
      <c r="G306" s="1149" t="s">
        <v>187</v>
      </c>
    </row>
    <row r="307" spans="1:7" outlineLevel="1">
      <c r="A307" s="1149" t="s">
        <v>1228</v>
      </c>
      <c r="B307" s="1149" t="s">
        <v>199</v>
      </c>
      <c r="C307" s="1149" t="s">
        <v>617</v>
      </c>
      <c r="D307" s="1149" t="s">
        <v>273</v>
      </c>
      <c r="E307" s="1150" t="s">
        <v>275</v>
      </c>
      <c r="F307" s="1149" t="s">
        <v>147</v>
      </c>
      <c r="G307" s="1149" t="s">
        <v>173</v>
      </c>
    </row>
    <row r="308" spans="1:7" outlineLevel="1">
      <c r="A308" s="1149" t="s">
        <v>433</v>
      </c>
      <c r="B308" s="1149" t="s">
        <v>148</v>
      </c>
      <c r="C308" s="1149" t="s">
        <v>267</v>
      </c>
      <c r="D308" s="1149" t="s">
        <v>99</v>
      </c>
      <c r="E308" s="1150" t="s">
        <v>276</v>
      </c>
      <c r="F308" s="1149" t="s">
        <v>149</v>
      </c>
      <c r="G308" s="1149" t="s">
        <v>187</v>
      </c>
    </row>
    <row r="309" spans="1:7" outlineLevel="1">
      <c r="A309" s="1149" t="s">
        <v>165</v>
      </c>
      <c r="B309" s="1149" t="s">
        <v>164</v>
      </c>
      <c r="C309" s="1149" t="s">
        <v>165</v>
      </c>
      <c r="D309" s="1149" t="s">
        <v>99</v>
      </c>
      <c r="E309" s="1150" t="s">
        <v>733</v>
      </c>
      <c r="F309" s="1149" t="s">
        <v>141</v>
      </c>
      <c r="G309" s="1149" t="s">
        <v>187</v>
      </c>
    </row>
    <row r="310" spans="1:7" outlineLevel="1">
      <c r="A310" s="1149" t="s">
        <v>167</v>
      </c>
      <c r="B310" s="1149" t="s">
        <v>166</v>
      </c>
      <c r="C310" s="1149" t="s">
        <v>167</v>
      </c>
      <c r="D310" s="1149" t="s">
        <v>99</v>
      </c>
      <c r="E310" s="1150" t="s">
        <v>733</v>
      </c>
      <c r="F310" s="1149" t="s">
        <v>141</v>
      </c>
      <c r="G310" s="1149" t="s">
        <v>187</v>
      </c>
    </row>
    <row r="311" spans="1:7" outlineLevel="1">
      <c r="A311" s="1149" t="s">
        <v>545</v>
      </c>
      <c r="B311" s="1149" t="s">
        <v>179</v>
      </c>
      <c r="C311" s="1149" t="s">
        <v>268</v>
      </c>
      <c r="D311" s="1149" t="s">
        <v>99</v>
      </c>
      <c r="E311" s="1150" t="s">
        <v>276</v>
      </c>
      <c r="F311" s="1149" t="s">
        <v>149</v>
      </c>
      <c r="G311" s="1149" t="s">
        <v>187</v>
      </c>
    </row>
    <row r="312" spans="1:7" outlineLevel="1">
      <c r="A312" s="1149" t="s">
        <v>611</v>
      </c>
      <c r="B312" s="1149" t="s">
        <v>195</v>
      </c>
      <c r="C312" s="1149" t="s">
        <v>196</v>
      </c>
      <c r="D312" s="1149" t="s">
        <v>99</v>
      </c>
      <c r="E312" s="1150" t="s">
        <v>237</v>
      </c>
      <c r="F312" s="1149" t="s">
        <v>131</v>
      </c>
      <c r="G312" s="1149" t="s">
        <v>187</v>
      </c>
    </row>
    <row r="313" spans="1:7" outlineLevel="1">
      <c r="A313" s="1149" t="s">
        <v>612</v>
      </c>
      <c r="B313" s="1149" t="s">
        <v>195</v>
      </c>
      <c r="C313" s="1149" t="s">
        <v>196</v>
      </c>
      <c r="D313" s="1149" t="s">
        <v>99</v>
      </c>
      <c r="E313" s="1150" t="s">
        <v>237</v>
      </c>
      <c r="F313" s="1149" t="s">
        <v>131</v>
      </c>
      <c r="G313" s="1149" t="s">
        <v>187</v>
      </c>
    </row>
    <row r="314" spans="1:7" outlineLevel="1">
      <c r="A314" s="1149" t="s">
        <v>460</v>
      </c>
      <c r="B314" s="1149" t="s">
        <v>156</v>
      </c>
      <c r="C314" s="1149" t="s">
        <v>157</v>
      </c>
      <c r="D314" s="1149" t="s">
        <v>99</v>
      </c>
      <c r="E314" s="1150" t="s">
        <v>733</v>
      </c>
      <c r="F314" s="1149" t="s">
        <v>141</v>
      </c>
      <c r="G314" s="1149" t="s">
        <v>187</v>
      </c>
    </row>
    <row r="315" spans="1:7" outlineLevel="1">
      <c r="A315" s="1149" t="s">
        <v>359</v>
      </c>
      <c r="B315" s="1149" t="s">
        <v>124</v>
      </c>
      <c r="C315" s="1149" t="s">
        <v>125</v>
      </c>
      <c r="D315" s="1149" t="s">
        <v>273</v>
      </c>
      <c r="E315" s="1150" t="s">
        <v>732</v>
      </c>
      <c r="F315" s="1149" t="s">
        <v>147</v>
      </c>
      <c r="G315" s="1149" t="s">
        <v>173</v>
      </c>
    </row>
    <row r="316" spans="1:7" outlineLevel="1">
      <c r="A316" s="1149" t="s">
        <v>482</v>
      </c>
      <c r="B316" s="1149" t="s">
        <v>164</v>
      </c>
      <c r="C316" s="1149" t="s">
        <v>165</v>
      </c>
      <c r="D316" s="1149" t="s">
        <v>99</v>
      </c>
      <c r="E316" s="1150" t="s">
        <v>733</v>
      </c>
      <c r="F316" s="1149" t="s">
        <v>141</v>
      </c>
      <c r="G316" s="1149" t="s">
        <v>187</v>
      </c>
    </row>
    <row r="317" spans="1:7" outlineLevel="1">
      <c r="A317" s="1149" t="s">
        <v>641</v>
      </c>
      <c r="B317" s="1149" t="s">
        <v>200</v>
      </c>
      <c r="C317" s="1149" t="s">
        <v>201</v>
      </c>
      <c r="D317" s="1149" t="s">
        <v>99</v>
      </c>
      <c r="E317" s="1150" t="s">
        <v>275</v>
      </c>
      <c r="F317" s="1149" t="s">
        <v>141</v>
      </c>
      <c r="G317" s="1149" t="s">
        <v>187</v>
      </c>
    </row>
    <row r="318" spans="1:7" outlineLevel="1">
      <c r="A318" s="1149" t="s">
        <v>561</v>
      </c>
      <c r="B318" s="1149" t="s">
        <v>180</v>
      </c>
      <c r="C318" s="1149" t="s">
        <v>181</v>
      </c>
      <c r="D318" s="1149" t="s">
        <v>273</v>
      </c>
      <c r="E318" s="1150" t="s">
        <v>732</v>
      </c>
      <c r="F318" s="1149" t="s">
        <v>147</v>
      </c>
      <c r="G318" s="1149" t="s">
        <v>173</v>
      </c>
    </row>
    <row r="319" spans="1:7" outlineLevel="1">
      <c r="A319" s="1149" t="s">
        <v>569</v>
      </c>
      <c r="B319" s="1149" t="s">
        <v>182</v>
      </c>
      <c r="C319" s="1149" t="s">
        <v>269</v>
      </c>
      <c r="D319" s="1149" t="s">
        <v>99</v>
      </c>
      <c r="E319" s="1150" t="s">
        <v>277</v>
      </c>
      <c r="F319" s="1149" t="s">
        <v>1238</v>
      </c>
      <c r="G319" s="1149" t="s">
        <v>187</v>
      </c>
    </row>
    <row r="320" spans="1:7" outlineLevel="1">
      <c r="A320" s="1149" t="s">
        <v>570</v>
      </c>
      <c r="B320" s="1149" t="s">
        <v>182</v>
      </c>
      <c r="C320" s="1149" t="s">
        <v>269</v>
      </c>
      <c r="D320" s="1149" t="s">
        <v>99</v>
      </c>
      <c r="E320" s="1150" t="s">
        <v>277</v>
      </c>
      <c r="F320" s="1149" t="s">
        <v>1238</v>
      </c>
      <c r="G320" s="1149" t="s">
        <v>187</v>
      </c>
    </row>
    <row r="321" spans="1:7" outlineLevel="1">
      <c r="A321" s="1149" t="s">
        <v>690</v>
      </c>
      <c r="B321" s="1149" t="s">
        <v>208</v>
      </c>
      <c r="C321" s="1149" t="s">
        <v>209</v>
      </c>
      <c r="D321" s="1149" t="s">
        <v>99</v>
      </c>
      <c r="E321" s="1150" t="s">
        <v>276</v>
      </c>
      <c r="F321" s="1149" t="s">
        <v>149</v>
      </c>
      <c r="G321" s="1149" t="s">
        <v>187</v>
      </c>
    </row>
    <row r="322" spans="1:7" outlineLevel="1">
      <c r="A322" s="1149" t="s">
        <v>668</v>
      </c>
      <c r="B322" s="1149" t="s">
        <v>206</v>
      </c>
      <c r="C322" s="1149" t="s">
        <v>207</v>
      </c>
      <c r="D322" s="1149" t="s">
        <v>99</v>
      </c>
      <c r="E322" s="1150" t="s">
        <v>237</v>
      </c>
      <c r="F322" s="1149" t="s">
        <v>131</v>
      </c>
      <c r="G322" s="1149" t="s">
        <v>187</v>
      </c>
    </row>
    <row r="323" spans="1:7" outlineLevel="1">
      <c r="A323" s="1149" t="s">
        <v>1230</v>
      </c>
      <c r="B323" s="1149" t="s">
        <v>176</v>
      </c>
      <c r="C323" s="1149" t="s">
        <v>272</v>
      </c>
      <c r="D323" s="1149" t="s">
        <v>99</v>
      </c>
      <c r="E323" s="1150" t="s">
        <v>277</v>
      </c>
      <c r="F323" s="1149" t="s">
        <v>1238</v>
      </c>
      <c r="G323" s="1149" t="s">
        <v>187</v>
      </c>
    </row>
    <row r="324" spans="1:7" outlineLevel="1">
      <c r="A324" s="1149" t="s">
        <v>669</v>
      </c>
      <c r="B324" s="1149" t="s">
        <v>206</v>
      </c>
      <c r="C324" s="1149" t="s">
        <v>207</v>
      </c>
      <c r="D324" s="1149" t="s">
        <v>99</v>
      </c>
      <c r="E324" s="1150" t="s">
        <v>237</v>
      </c>
      <c r="F324" s="1149" t="s">
        <v>131</v>
      </c>
      <c r="G324" s="1149" t="s">
        <v>187</v>
      </c>
    </row>
    <row r="325" spans="1:7" outlineLevel="1">
      <c r="A325" s="1149" t="s">
        <v>670</v>
      </c>
      <c r="B325" s="1149" t="s">
        <v>206</v>
      </c>
      <c r="C325" s="1149" t="s">
        <v>207</v>
      </c>
      <c r="D325" s="1149" t="s">
        <v>99</v>
      </c>
      <c r="E325" s="1150" t="s">
        <v>237</v>
      </c>
      <c r="F325" s="1149" t="s">
        <v>131</v>
      </c>
      <c r="G325" s="1149" t="s">
        <v>187</v>
      </c>
    </row>
    <row r="326" spans="1:7" outlineLevel="1">
      <c r="A326" s="1149" t="s">
        <v>601</v>
      </c>
      <c r="B326" s="1149" t="s">
        <v>193</v>
      </c>
      <c r="C326" s="1149" t="s">
        <v>194</v>
      </c>
      <c r="D326" s="1149" t="s">
        <v>99</v>
      </c>
      <c r="E326" s="1150" t="s">
        <v>733</v>
      </c>
      <c r="F326" s="1149" t="s">
        <v>141</v>
      </c>
      <c r="G326" s="1149" t="s">
        <v>187</v>
      </c>
    </row>
    <row r="327" spans="1:7" outlineLevel="1">
      <c r="A327" s="1149" t="s">
        <v>170</v>
      </c>
      <c r="B327" s="1149" t="s">
        <v>169</v>
      </c>
      <c r="C327" s="1149" t="s">
        <v>170</v>
      </c>
      <c r="D327" s="1149" t="s">
        <v>99</v>
      </c>
      <c r="E327" s="1150" t="s">
        <v>733</v>
      </c>
      <c r="F327" s="1149" t="s">
        <v>141</v>
      </c>
      <c r="G327" s="1149" t="s">
        <v>187</v>
      </c>
    </row>
    <row r="328" spans="1:7" outlineLevel="1">
      <c r="A328" s="1149" t="s">
        <v>474</v>
      </c>
      <c r="B328" s="1149" t="s">
        <v>162</v>
      </c>
      <c r="C328" s="1149" t="s">
        <v>163</v>
      </c>
      <c r="D328" s="1149" t="s">
        <v>273</v>
      </c>
      <c r="E328" s="1150" t="s">
        <v>275</v>
      </c>
      <c r="F328" s="1149" t="s">
        <v>147</v>
      </c>
      <c r="G328" s="1149" t="s">
        <v>173</v>
      </c>
    </row>
    <row r="329" spans="1:7" outlineLevel="1">
      <c r="A329" s="1149" t="s">
        <v>447</v>
      </c>
      <c r="B329" s="1149" t="s">
        <v>154</v>
      </c>
      <c r="C329" s="1149" t="s">
        <v>445</v>
      </c>
      <c r="D329" s="1149" t="s">
        <v>273</v>
      </c>
      <c r="E329" s="1150" t="s">
        <v>276</v>
      </c>
      <c r="F329" s="1149" t="s">
        <v>149</v>
      </c>
      <c r="G329" s="1149" t="s">
        <v>173</v>
      </c>
    </row>
    <row r="330" spans="1:7" outlineLevel="1">
      <c r="A330" s="1149" t="s">
        <v>571</v>
      </c>
      <c r="B330" s="1149" t="s">
        <v>182</v>
      </c>
      <c r="C330" s="1149" t="s">
        <v>269</v>
      </c>
      <c r="D330" s="1149" t="s">
        <v>99</v>
      </c>
      <c r="E330" s="1150" t="s">
        <v>277</v>
      </c>
      <c r="F330" s="1149" t="s">
        <v>1238</v>
      </c>
      <c r="G330" s="1149" t="s">
        <v>187</v>
      </c>
    </row>
    <row r="331" spans="1:7" outlineLevel="1">
      <c r="A331" s="1149" t="s">
        <v>724</v>
      </c>
      <c r="B331" s="1149" t="s">
        <v>214</v>
      </c>
      <c r="C331" s="1149" t="s">
        <v>215</v>
      </c>
      <c r="D331" s="1149" t="s">
        <v>273</v>
      </c>
      <c r="E331" s="1150" t="s">
        <v>732</v>
      </c>
      <c r="F331" s="1149" t="s">
        <v>147</v>
      </c>
      <c r="G331" s="1149" t="s">
        <v>173</v>
      </c>
    </row>
    <row r="332" spans="1:7" outlineLevel="1">
      <c r="A332" s="1149" t="s">
        <v>415</v>
      </c>
      <c r="B332" s="1149" t="s">
        <v>144</v>
      </c>
      <c r="C332" s="1149" t="s">
        <v>145</v>
      </c>
      <c r="D332" s="1149" t="s">
        <v>273</v>
      </c>
      <c r="E332" s="1150" t="s">
        <v>275</v>
      </c>
      <c r="F332" s="1149" t="s">
        <v>147</v>
      </c>
      <c r="G332" s="1149" t="s">
        <v>173</v>
      </c>
    </row>
    <row r="333" spans="1:7" outlineLevel="1">
      <c r="A333" s="1149" t="s">
        <v>371</v>
      </c>
      <c r="B333" s="1149" t="s">
        <v>126</v>
      </c>
      <c r="C333" s="1149" t="s">
        <v>270</v>
      </c>
      <c r="D333" s="1149" t="s">
        <v>273</v>
      </c>
      <c r="E333" s="1150" t="s">
        <v>277</v>
      </c>
      <c r="F333" s="1149" t="s">
        <v>1238</v>
      </c>
      <c r="G333" s="1149" t="s">
        <v>173</v>
      </c>
    </row>
    <row r="334" spans="1:7" outlineLevel="1">
      <c r="A334" s="1149" t="s">
        <v>671</v>
      </c>
      <c r="B334" s="1149" t="s">
        <v>206</v>
      </c>
      <c r="C334" s="1149" t="s">
        <v>207</v>
      </c>
      <c r="D334" s="1149" t="s">
        <v>99</v>
      </c>
      <c r="E334" s="1150" t="s">
        <v>237</v>
      </c>
      <c r="F334" s="1149" t="s">
        <v>131</v>
      </c>
      <c r="G334" s="1149" t="s">
        <v>187</v>
      </c>
    </row>
    <row r="335" spans="1:7" outlineLevel="1">
      <c r="A335" s="1149" t="s">
        <v>416</v>
      </c>
      <c r="B335" s="1149" t="s">
        <v>144</v>
      </c>
      <c r="C335" s="1149" t="s">
        <v>145</v>
      </c>
      <c r="D335" s="1149" t="s">
        <v>273</v>
      </c>
      <c r="E335" s="1150" t="s">
        <v>275</v>
      </c>
      <c r="F335" s="1149" t="s">
        <v>147</v>
      </c>
      <c r="G335" s="1149" t="s">
        <v>173</v>
      </c>
    </row>
    <row r="336" spans="1:7" outlineLevel="1">
      <c r="A336" s="1149" t="s">
        <v>546</v>
      </c>
      <c r="B336" s="1149" t="s">
        <v>179</v>
      </c>
      <c r="C336" s="1149" t="s">
        <v>268</v>
      </c>
      <c r="D336" s="1149" t="s">
        <v>99</v>
      </c>
      <c r="E336" s="1150" t="s">
        <v>276</v>
      </c>
      <c r="F336" s="1149" t="s">
        <v>149</v>
      </c>
      <c r="G336" s="1149" t="s">
        <v>187</v>
      </c>
    </row>
    <row r="337" spans="1:7" outlineLevel="1">
      <c r="A337" s="1149" t="s">
        <v>547</v>
      </c>
      <c r="B337" s="1149" t="s">
        <v>179</v>
      </c>
      <c r="C337" s="1149" t="s">
        <v>268</v>
      </c>
      <c r="D337" s="1149" t="s">
        <v>99</v>
      </c>
      <c r="E337" s="1150" t="s">
        <v>276</v>
      </c>
      <c r="F337" s="1149" t="s">
        <v>149</v>
      </c>
      <c r="G337" s="1149" t="s">
        <v>187</v>
      </c>
    </row>
    <row r="338" spans="1:7" outlineLevel="1">
      <c r="A338" s="1149" t="s">
        <v>548</v>
      </c>
      <c r="B338" s="1149" t="s">
        <v>179</v>
      </c>
      <c r="C338" s="1149" t="s">
        <v>268</v>
      </c>
      <c r="D338" s="1149" t="s">
        <v>99</v>
      </c>
      <c r="E338" s="1150" t="s">
        <v>276</v>
      </c>
      <c r="F338" s="1149" t="s">
        <v>149</v>
      </c>
      <c r="G338" s="1149" t="s">
        <v>187</v>
      </c>
    </row>
    <row r="339" spans="1:7" outlineLevel="1">
      <c r="A339" s="1149" t="s">
        <v>389</v>
      </c>
      <c r="B339" s="1149" t="s">
        <v>134</v>
      </c>
      <c r="C339" s="1149" t="s">
        <v>135</v>
      </c>
      <c r="D339" s="1149" t="s">
        <v>99</v>
      </c>
      <c r="E339" s="1150" t="s">
        <v>275</v>
      </c>
      <c r="F339" s="1151" t="s">
        <v>141</v>
      </c>
      <c r="G339" s="1149" t="s">
        <v>187</v>
      </c>
    </row>
    <row r="340" spans="1:7" outlineLevel="1">
      <c r="A340" s="1149" t="s">
        <v>390</v>
      </c>
      <c r="B340" s="1149" t="s">
        <v>134</v>
      </c>
      <c r="C340" s="1149" t="s">
        <v>135</v>
      </c>
      <c r="D340" s="1149" t="s">
        <v>99</v>
      </c>
      <c r="E340" s="1150" t="s">
        <v>275</v>
      </c>
      <c r="F340" s="1151" t="s">
        <v>141</v>
      </c>
      <c r="G340" s="1149" t="s">
        <v>187</v>
      </c>
    </row>
    <row r="341" spans="1:7" outlineLevel="1">
      <c r="A341" s="1149" t="s">
        <v>514</v>
      </c>
      <c r="B341" s="1149" t="s">
        <v>171</v>
      </c>
      <c r="C341" s="1149" t="s">
        <v>172</v>
      </c>
      <c r="D341" s="1149" t="s">
        <v>273</v>
      </c>
      <c r="E341" s="1150" t="s">
        <v>732</v>
      </c>
      <c r="F341" s="1149" t="s">
        <v>147</v>
      </c>
      <c r="G341" s="1149" t="s">
        <v>173</v>
      </c>
    </row>
    <row r="342" spans="1:7" outlineLevel="1">
      <c r="A342" s="1149" t="s">
        <v>581</v>
      </c>
      <c r="B342" s="1149" t="s">
        <v>188</v>
      </c>
      <c r="C342" s="1149" t="s">
        <v>579</v>
      </c>
      <c r="D342" s="1149" t="s">
        <v>273</v>
      </c>
      <c r="E342" s="1150" t="s">
        <v>275</v>
      </c>
      <c r="F342" s="1149" t="s">
        <v>147</v>
      </c>
      <c r="G342" s="1149" t="s">
        <v>173</v>
      </c>
    </row>
    <row r="343" spans="1:7" outlineLevel="1">
      <c r="A343" s="1149" t="s">
        <v>417</v>
      </c>
      <c r="B343" s="1149" t="s">
        <v>144</v>
      </c>
      <c r="C343" s="1149" t="s">
        <v>145</v>
      </c>
      <c r="D343" s="1149" t="s">
        <v>273</v>
      </c>
      <c r="E343" s="1150" t="s">
        <v>275</v>
      </c>
      <c r="F343" s="1149" t="s">
        <v>147</v>
      </c>
      <c r="G343" s="1149" t="s">
        <v>173</v>
      </c>
    </row>
    <row r="344" spans="1:7" outlineLevel="1">
      <c r="A344" s="1149" t="s">
        <v>582</v>
      </c>
      <c r="B344" s="1149" t="s">
        <v>188</v>
      </c>
      <c r="C344" s="1149" t="s">
        <v>579</v>
      </c>
      <c r="D344" s="1149" t="s">
        <v>273</v>
      </c>
      <c r="E344" s="1150" t="s">
        <v>275</v>
      </c>
      <c r="F344" s="1149" t="s">
        <v>147</v>
      </c>
      <c r="G344" s="1149" t="s">
        <v>173</v>
      </c>
    </row>
    <row r="345" spans="1:7" outlineLevel="1">
      <c r="A345" s="1149" t="s">
        <v>515</v>
      </c>
      <c r="B345" s="1149" t="s">
        <v>171</v>
      </c>
      <c r="C345" s="1149" t="s">
        <v>172</v>
      </c>
      <c r="D345" s="1149" t="s">
        <v>273</v>
      </c>
      <c r="E345" s="1150" t="s">
        <v>732</v>
      </c>
      <c r="F345" s="1149" t="s">
        <v>147</v>
      </c>
      <c r="G345" s="1149" t="s">
        <v>173</v>
      </c>
    </row>
    <row r="346" spans="1:7" outlineLevel="1">
      <c r="A346" s="1149" t="s">
        <v>439</v>
      </c>
      <c r="B346" s="1149" t="s">
        <v>150</v>
      </c>
      <c r="C346" s="1149" t="s">
        <v>151</v>
      </c>
      <c r="D346" s="1149" t="s">
        <v>273</v>
      </c>
      <c r="E346" s="1150" t="s">
        <v>277</v>
      </c>
      <c r="F346" s="1149" t="s">
        <v>1238</v>
      </c>
      <c r="G346" s="1149" t="s">
        <v>173</v>
      </c>
    </row>
    <row r="347" spans="1:7" outlineLevel="1">
      <c r="A347" s="1149" t="s">
        <v>531</v>
      </c>
      <c r="B347" s="1149" t="s">
        <v>176</v>
      </c>
      <c r="C347" s="1149" t="s">
        <v>272</v>
      </c>
      <c r="D347" s="1149" t="s">
        <v>99</v>
      </c>
      <c r="E347" s="1150" t="s">
        <v>277</v>
      </c>
      <c r="F347" s="1149" t="s">
        <v>1238</v>
      </c>
      <c r="G347" s="1149" t="s">
        <v>187</v>
      </c>
    </row>
    <row r="348" spans="1:7" outlineLevel="1">
      <c r="A348" s="1149" t="s">
        <v>532</v>
      </c>
      <c r="B348" s="1149" t="s">
        <v>176</v>
      </c>
      <c r="C348" s="1149" t="s">
        <v>272</v>
      </c>
      <c r="D348" s="1149" t="s">
        <v>99</v>
      </c>
      <c r="E348" s="1150" t="s">
        <v>277</v>
      </c>
      <c r="F348" s="1149" t="s">
        <v>1238</v>
      </c>
      <c r="G348" s="1149" t="s">
        <v>187</v>
      </c>
    </row>
    <row r="349" spans="1:7" outlineLevel="1">
      <c r="A349" s="1149" t="s">
        <v>691</v>
      </c>
      <c r="B349" s="1149" t="s">
        <v>208</v>
      </c>
      <c r="C349" s="1149" t="s">
        <v>209</v>
      </c>
      <c r="D349" s="1149" t="s">
        <v>99</v>
      </c>
      <c r="E349" s="1150" t="s">
        <v>276</v>
      </c>
      <c r="F349" s="1149" t="s">
        <v>149</v>
      </c>
      <c r="G349" s="1149" t="s">
        <v>187</v>
      </c>
    </row>
    <row r="350" spans="1:7" outlineLevel="1">
      <c r="A350" s="1149" t="s">
        <v>725</v>
      </c>
      <c r="B350" s="1149" t="s">
        <v>214</v>
      </c>
      <c r="C350" s="1149" t="s">
        <v>215</v>
      </c>
      <c r="D350" s="1149" t="s">
        <v>273</v>
      </c>
      <c r="E350" s="1150" t="s">
        <v>732</v>
      </c>
      <c r="F350" s="1149" t="s">
        <v>147</v>
      </c>
      <c r="G350" s="1149" t="s">
        <v>173</v>
      </c>
    </row>
    <row r="351" spans="1:7" outlineLevel="1">
      <c r="A351" s="1149" t="s">
        <v>699</v>
      </c>
      <c r="B351" s="1149" t="s">
        <v>210</v>
      </c>
      <c r="C351" s="1149" t="s">
        <v>211</v>
      </c>
      <c r="D351" s="1149" t="s">
        <v>273</v>
      </c>
      <c r="E351" s="1150" t="s">
        <v>276</v>
      </c>
      <c r="F351" s="1149" t="s">
        <v>149</v>
      </c>
      <c r="G351" s="1149" t="s">
        <v>173</v>
      </c>
    </row>
    <row r="352" spans="1:7" outlineLevel="1">
      <c r="A352" s="1149" t="s">
        <v>516</v>
      </c>
      <c r="B352" s="1149" t="s">
        <v>171</v>
      </c>
      <c r="C352" s="1149" t="s">
        <v>172</v>
      </c>
      <c r="D352" s="1149" t="s">
        <v>273</v>
      </c>
      <c r="E352" s="1150" t="s">
        <v>732</v>
      </c>
      <c r="F352" s="1149" t="s">
        <v>147</v>
      </c>
      <c r="G352" s="1149" t="s">
        <v>173</v>
      </c>
    </row>
    <row r="353" spans="1:7" outlineLevel="1">
      <c r="A353" s="1149" t="s">
        <v>372</v>
      </c>
      <c r="B353" s="1149" t="s">
        <v>126</v>
      </c>
      <c r="C353" s="1149" t="s">
        <v>270</v>
      </c>
      <c r="D353" s="1149" t="s">
        <v>273</v>
      </c>
      <c r="E353" s="1150" t="s">
        <v>277</v>
      </c>
      <c r="F353" s="1149" t="s">
        <v>1238</v>
      </c>
      <c r="G353" s="1149" t="s">
        <v>173</v>
      </c>
    </row>
    <row r="354" spans="1:7" outlineLevel="1">
      <c r="A354" s="1149" t="s">
        <v>517</v>
      </c>
      <c r="B354" s="1149" t="s">
        <v>171</v>
      </c>
      <c r="C354" s="1149" t="s">
        <v>172</v>
      </c>
      <c r="D354" s="1149" t="s">
        <v>273</v>
      </c>
      <c r="E354" s="1150" t="s">
        <v>732</v>
      </c>
      <c r="F354" s="1149" t="s">
        <v>147</v>
      </c>
      <c r="G354" s="1149" t="s">
        <v>173</v>
      </c>
    </row>
    <row r="355" spans="1:7" outlineLevel="1">
      <c r="A355" s="1149" t="s">
        <v>549</v>
      </c>
      <c r="B355" s="1149" t="s">
        <v>179</v>
      </c>
      <c r="C355" s="1149" t="s">
        <v>268</v>
      </c>
      <c r="D355" s="1149" t="s">
        <v>99</v>
      </c>
      <c r="E355" s="1150" t="s">
        <v>276</v>
      </c>
      <c r="F355" s="1149" t="s">
        <v>149</v>
      </c>
      <c r="G355" s="1149" t="s">
        <v>187</v>
      </c>
    </row>
    <row r="356" spans="1:7" outlineLevel="1">
      <c r="A356" s="1149" t="s">
        <v>589</v>
      </c>
      <c r="B356" s="1149" t="s">
        <v>191</v>
      </c>
      <c r="C356" s="1149" t="s">
        <v>192</v>
      </c>
      <c r="D356" s="1149" t="s">
        <v>99</v>
      </c>
      <c r="E356" s="1150" t="s">
        <v>733</v>
      </c>
      <c r="F356" s="1149" t="s">
        <v>141</v>
      </c>
      <c r="G356" s="1149" t="s">
        <v>187</v>
      </c>
    </row>
    <row r="357" spans="1:7" outlineLevel="1">
      <c r="A357" s="1149" t="s">
        <v>483</v>
      </c>
      <c r="B357" s="1149" t="s">
        <v>164</v>
      </c>
      <c r="C357" s="1149" t="s">
        <v>165</v>
      </c>
      <c r="D357" s="1149" t="s">
        <v>99</v>
      </c>
      <c r="E357" s="1150" t="s">
        <v>733</v>
      </c>
      <c r="F357" s="1149" t="s">
        <v>141</v>
      </c>
      <c r="G357" s="1149" t="s">
        <v>187</v>
      </c>
    </row>
    <row r="358" spans="1:7" outlineLevel="1">
      <c r="A358" s="1149" t="s">
        <v>172</v>
      </c>
      <c r="B358" s="1149" t="s">
        <v>171</v>
      </c>
      <c r="C358" s="1149" t="s">
        <v>172</v>
      </c>
      <c r="D358" s="1149" t="s">
        <v>273</v>
      </c>
      <c r="E358" s="1150" t="s">
        <v>732</v>
      </c>
      <c r="F358" s="1149" t="s">
        <v>147</v>
      </c>
      <c r="G358" s="1149" t="s">
        <v>173</v>
      </c>
    </row>
    <row r="359" spans="1:7" outlineLevel="1">
      <c r="A359" s="1149" t="s">
        <v>173</v>
      </c>
      <c r="B359" s="1149" t="s">
        <v>274</v>
      </c>
      <c r="C359" s="1149" t="s">
        <v>173</v>
      </c>
      <c r="D359" s="1149" t="s">
        <v>273</v>
      </c>
      <c r="E359" s="1150" t="s">
        <v>276</v>
      </c>
      <c r="F359" s="1149" t="s">
        <v>149</v>
      </c>
    </row>
    <row r="360" spans="1:7" outlineLevel="1">
      <c r="A360" s="1149" t="s">
        <v>621</v>
      </c>
      <c r="B360" s="1149" t="s">
        <v>199</v>
      </c>
      <c r="C360" s="1149" t="s">
        <v>617</v>
      </c>
      <c r="D360" s="1149" t="s">
        <v>273</v>
      </c>
      <c r="E360" s="1150" t="s">
        <v>275</v>
      </c>
      <c r="F360" s="1149" t="s">
        <v>147</v>
      </c>
      <c r="G360" s="1149" t="s">
        <v>173</v>
      </c>
    </row>
    <row r="361" spans="1:7" outlineLevel="1">
      <c r="A361" s="1149" t="s">
        <v>1556</v>
      </c>
      <c r="B361" s="1149" t="s">
        <v>188</v>
      </c>
      <c r="C361" s="1149" t="s">
        <v>579</v>
      </c>
      <c r="D361" s="1149" t="s">
        <v>273</v>
      </c>
      <c r="E361" s="1150" t="s">
        <v>275</v>
      </c>
      <c r="F361" s="1149" t="s">
        <v>147</v>
      </c>
      <c r="G361" s="1149" t="s">
        <v>173</v>
      </c>
    </row>
    <row r="362" spans="1:7" outlineLevel="1">
      <c r="A362" s="1149" t="s">
        <v>518</v>
      </c>
      <c r="B362" s="1149" t="s">
        <v>171</v>
      </c>
      <c r="C362" s="1149" t="s">
        <v>172</v>
      </c>
      <c r="D362" s="1149" t="s">
        <v>273</v>
      </c>
      <c r="E362" s="1150" t="s">
        <v>732</v>
      </c>
      <c r="F362" s="1149" t="s">
        <v>147</v>
      </c>
      <c r="G362" s="1149" t="s">
        <v>173</v>
      </c>
    </row>
    <row r="363" spans="1:7" outlineLevel="1">
      <c r="A363" s="1149" t="s">
        <v>175</v>
      </c>
      <c r="B363" s="1149" t="s">
        <v>174</v>
      </c>
      <c r="C363" s="1149" t="s">
        <v>175</v>
      </c>
      <c r="D363" s="1149" t="s">
        <v>273</v>
      </c>
      <c r="E363" s="1150" t="s">
        <v>732</v>
      </c>
      <c r="F363" s="1149" t="s">
        <v>147</v>
      </c>
      <c r="G363" s="1149" t="s">
        <v>173</v>
      </c>
    </row>
    <row r="364" spans="1:7" outlineLevel="1">
      <c r="A364" s="1149" t="s">
        <v>418</v>
      </c>
      <c r="B364" s="1149" t="s">
        <v>144</v>
      </c>
      <c r="C364" s="1149" t="s">
        <v>145</v>
      </c>
      <c r="D364" s="1149" t="s">
        <v>273</v>
      </c>
      <c r="E364" s="1150" t="s">
        <v>275</v>
      </c>
      <c r="F364" s="1149" t="s">
        <v>147</v>
      </c>
      <c r="G364" s="1149" t="s">
        <v>173</v>
      </c>
    </row>
    <row r="365" spans="1:7" outlineLevel="1">
      <c r="A365" s="1149" t="s">
        <v>642</v>
      </c>
      <c r="B365" s="1149" t="s">
        <v>200</v>
      </c>
      <c r="C365" s="1149" t="s">
        <v>201</v>
      </c>
      <c r="D365" s="1149" t="s">
        <v>99</v>
      </c>
      <c r="E365" s="1150" t="s">
        <v>275</v>
      </c>
      <c r="F365" s="1149" t="s">
        <v>141</v>
      </c>
      <c r="G365" s="1149" t="s">
        <v>187</v>
      </c>
    </row>
    <row r="366" spans="1:7" outlineLevel="1">
      <c r="A366" s="1149" t="s">
        <v>643</v>
      </c>
      <c r="B366" s="1149" t="s">
        <v>200</v>
      </c>
      <c r="C366" s="1149" t="s">
        <v>201</v>
      </c>
      <c r="D366" s="1149" t="s">
        <v>99</v>
      </c>
      <c r="E366" s="1150" t="s">
        <v>275</v>
      </c>
      <c r="F366" s="1149" t="s">
        <v>141</v>
      </c>
      <c r="G366" s="1149" t="s">
        <v>187</v>
      </c>
    </row>
    <row r="367" spans="1:7" outlineLevel="1">
      <c r="A367" s="1149" t="s">
        <v>376</v>
      </c>
      <c r="B367" s="1149" t="s">
        <v>127</v>
      </c>
      <c r="C367" s="1149" t="s">
        <v>271</v>
      </c>
      <c r="D367" s="1149" t="s">
        <v>273</v>
      </c>
      <c r="E367" s="1150" t="s">
        <v>732</v>
      </c>
      <c r="F367" s="1149" t="s">
        <v>147</v>
      </c>
      <c r="G367" s="1149" t="s">
        <v>173</v>
      </c>
    </row>
    <row r="368" spans="1:7" outlineLevel="1">
      <c r="A368" s="1149" t="s">
        <v>672</v>
      </c>
      <c r="B368" s="1149" t="s">
        <v>206</v>
      </c>
      <c r="C368" s="1149" t="s">
        <v>207</v>
      </c>
      <c r="D368" s="1149" t="s">
        <v>99</v>
      </c>
      <c r="E368" s="1150" t="s">
        <v>237</v>
      </c>
      <c r="F368" s="1149" t="s">
        <v>131</v>
      </c>
      <c r="G368" s="1149" t="s">
        <v>187</v>
      </c>
    </row>
    <row r="369" spans="1:7" outlineLevel="1">
      <c r="A369" s="1149" t="s">
        <v>533</v>
      </c>
      <c r="B369" s="1149" t="s">
        <v>176</v>
      </c>
      <c r="C369" s="1149" t="s">
        <v>272</v>
      </c>
      <c r="D369" s="1149" t="s">
        <v>99</v>
      </c>
      <c r="E369" s="1150" t="s">
        <v>277</v>
      </c>
      <c r="F369" s="1149" t="s">
        <v>1238</v>
      </c>
      <c r="G369" s="1149" t="s">
        <v>187</v>
      </c>
    </row>
    <row r="370" spans="1:7" outlineLevel="1">
      <c r="A370" s="1149" t="s">
        <v>461</v>
      </c>
      <c r="B370" s="1149" t="s">
        <v>156</v>
      </c>
      <c r="C370" s="1149" t="s">
        <v>157</v>
      </c>
      <c r="D370" s="1149" t="s">
        <v>99</v>
      </c>
      <c r="E370" s="1150" t="s">
        <v>733</v>
      </c>
      <c r="F370" s="1149" t="s">
        <v>141</v>
      </c>
      <c r="G370" s="1149" t="s">
        <v>187</v>
      </c>
    </row>
    <row r="371" spans="1:7" outlineLevel="1">
      <c r="A371" s="1149" t="s">
        <v>1227</v>
      </c>
      <c r="B371" s="1149" t="s">
        <v>180</v>
      </c>
      <c r="C371" s="1149" t="s">
        <v>181</v>
      </c>
      <c r="D371" s="1149" t="s">
        <v>273</v>
      </c>
      <c r="E371" s="1150" t="s">
        <v>732</v>
      </c>
      <c r="F371" s="1149" t="s">
        <v>147</v>
      </c>
      <c r="G371" s="1149" t="s">
        <v>173</v>
      </c>
    </row>
    <row r="372" spans="1:7" outlineLevel="1">
      <c r="A372" s="1149" t="s">
        <v>419</v>
      </c>
      <c r="B372" s="1149" t="s">
        <v>144</v>
      </c>
      <c r="C372" s="1149" t="s">
        <v>145</v>
      </c>
      <c r="D372" s="1149" t="s">
        <v>273</v>
      </c>
      <c r="E372" s="1150" t="s">
        <v>275</v>
      </c>
      <c r="F372" s="1149" t="s">
        <v>147</v>
      </c>
      <c r="G372" s="1149" t="s">
        <v>173</v>
      </c>
    </row>
    <row r="373" spans="1:7" outlineLevel="1">
      <c r="A373" s="1149" t="s">
        <v>391</v>
      </c>
      <c r="B373" s="1149" t="s">
        <v>134</v>
      </c>
      <c r="C373" s="1149" t="s">
        <v>135</v>
      </c>
      <c r="D373" s="1149" t="s">
        <v>99</v>
      </c>
      <c r="E373" s="1150" t="s">
        <v>275</v>
      </c>
      <c r="F373" s="1151" t="s">
        <v>141</v>
      </c>
      <c r="G373" s="1149" t="s">
        <v>187</v>
      </c>
    </row>
    <row r="374" spans="1:7" outlineLevel="1">
      <c r="A374" s="1149" t="s">
        <v>1226</v>
      </c>
      <c r="B374" s="1149" t="s">
        <v>127</v>
      </c>
      <c r="C374" s="1149" t="s">
        <v>271</v>
      </c>
      <c r="D374" s="1149" t="s">
        <v>273</v>
      </c>
      <c r="E374" s="1150" t="s">
        <v>732</v>
      </c>
      <c r="F374" s="1149" t="s">
        <v>147</v>
      </c>
      <c r="G374" s="1149" t="s">
        <v>173</v>
      </c>
    </row>
    <row r="375" spans="1:7" outlineLevel="1">
      <c r="A375" s="1149" t="s">
        <v>534</v>
      </c>
      <c r="B375" s="1149" t="s">
        <v>176</v>
      </c>
      <c r="C375" s="1149" t="s">
        <v>272</v>
      </c>
      <c r="D375" s="1149" t="s">
        <v>99</v>
      </c>
      <c r="E375" s="1150" t="s">
        <v>277</v>
      </c>
      <c r="F375" s="1149" t="s">
        <v>1238</v>
      </c>
      <c r="G375" s="1149" t="s">
        <v>187</v>
      </c>
    </row>
    <row r="376" spans="1:7" outlineLevel="1">
      <c r="A376" s="1149" t="s">
        <v>673</v>
      </c>
      <c r="B376" s="1149" t="s">
        <v>206</v>
      </c>
      <c r="C376" s="1149" t="s">
        <v>207</v>
      </c>
      <c r="D376" s="1149" t="s">
        <v>99</v>
      </c>
      <c r="E376" s="1150" t="s">
        <v>237</v>
      </c>
      <c r="F376" s="1149" t="s">
        <v>131</v>
      </c>
      <c r="G376" s="1149" t="s">
        <v>187</v>
      </c>
    </row>
    <row r="377" spans="1:7" outlineLevel="1">
      <c r="A377" s="1149" t="s">
        <v>590</v>
      </c>
      <c r="B377" s="1149" t="s">
        <v>191</v>
      </c>
      <c r="C377" s="1149" t="s">
        <v>192</v>
      </c>
      <c r="D377" s="1149" t="s">
        <v>99</v>
      </c>
      <c r="E377" s="1150" t="s">
        <v>733</v>
      </c>
      <c r="F377" s="1149" t="s">
        <v>141</v>
      </c>
      <c r="G377" s="1149" t="s">
        <v>187</v>
      </c>
    </row>
    <row r="378" spans="1:7" outlineLevel="1">
      <c r="A378" s="1149" t="s">
        <v>1231</v>
      </c>
      <c r="B378" s="1149" t="s">
        <v>191</v>
      </c>
      <c r="C378" s="1149" t="s">
        <v>192</v>
      </c>
      <c r="D378" s="1149" t="s">
        <v>99</v>
      </c>
      <c r="E378" s="1150" t="s">
        <v>733</v>
      </c>
      <c r="F378" s="1149" t="s">
        <v>141</v>
      </c>
      <c r="G378" s="1149" t="s">
        <v>187</v>
      </c>
    </row>
    <row r="379" spans="1:7" outlineLevel="1">
      <c r="A379" s="1149" t="s">
        <v>591</v>
      </c>
      <c r="B379" s="1149" t="s">
        <v>191</v>
      </c>
      <c r="C379" s="1149" t="s">
        <v>192</v>
      </c>
      <c r="D379" s="1149" t="s">
        <v>99</v>
      </c>
      <c r="E379" s="1150" t="s">
        <v>733</v>
      </c>
      <c r="F379" s="1149" t="s">
        <v>141</v>
      </c>
      <c r="G379" s="1149" t="s">
        <v>187</v>
      </c>
    </row>
    <row r="380" spans="1:7" outlineLevel="1">
      <c r="A380" s="1149" t="s">
        <v>535</v>
      </c>
      <c r="B380" s="1149" t="s">
        <v>176</v>
      </c>
      <c r="C380" s="1149" t="s">
        <v>272</v>
      </c>
      <c r="D380" s="1149" t="s">
        <v>99</v>
      </c>
      <c r="E380" s="1150" t="s">
        <v>277</v>
      </c>
      <c r="F380" s="1149" t="s">
        <v>1238</v>
      </c>
      <c r="G380" s="1149" t="s">
        <v>187</v>
      </c>
    </row>
    <row r="381" spans="1:7" outlineLevel="1">
      <c r="A381" s="1149" t="s">
        <v>178</v>
      </c>
      <c r="B381" s="1149" t="s">
        <v>177</v>
      </c>
      <c r="C381" s="1149" t="s">
        <v>178</v>
      </c>
      <c r="D381" s="1149" t="s">
        <v>273</v>
      </c>
      <c r="E381" s="1150" t="s">
        <v>276</v>
      </c>
      <c r="F381" s="1149" t="s">
        <v>149</v>
      </c>
      <c r="G381" s="1149" t="s">
        <v>173</v>
      </c>
    </row>
    <row r="382" spans="1:7" outlineLevel="1">
      <c r="A382" s="1149" t="s">
        <v>602</v>
      </c>
      <c r="B382" s="1149" t="s">
        <v>193</v>
      </c>
      <c r="C382" s="1149" t="s">
        <v>194</v>
      </c>
      <c r="D382" s="1149" t="s">
        <v>99</v>
      </c>
      <c r="E382" s="1150" t="s">
        <v>733</v>
      </c>
      <c r="F382" s="1149" t="s">
        <v>141</v>
      </c>
      <c r="G382" s="1149" t="s">
        <v>187</v>
      </c>
    </row>
    <row r="383" spans="1:7" outlineLevel="1">
      <c r="A383" s="1149" t="s">
        <v>674</v>
      </c>
      <c r="B383" s="1149" t="s">
        <v>206</v>
      </c>
      <c r="C383" s="1149" t="s">
        <v>207</v>
      </c>
      <c r="D383" s="1149" t="s">
        <v>99</v>
      </c>
      <c r="E383" s="1150" t="s">
        <v>237</v>
      </c>
      <c r="F383" s="1149" t="s">
        <v>131</v>
      </c>
      <c r="G383" s="1149" t="s">
        <v>187</v>
      </c>
    </row>
    <row r="384" spans="1:7" outlineLevel="1">
      <c r="A384" s="1149" t="s">
        <v>448</v>
      </c>
      <c r="B384" s="1149" t="s">
        <v>154</v>
      </c>
      <c r="C384" s="1149" t="s">
        <v>445</v>
      </c>
      <c r="D384" s="1149" t="s">
        <v>273</v>
      </c>
      <c r="E384" s="1150" t="s">
        <v>275</v>
      </c>
      <c r="F384" s="1149" t="s">
        <v>147</v>
      </c>
      <c r="G384" s="1149" t="s">
        <v>173</v>
      </c>
    </row>
    <row r="385" spans="1:7" outlineLevel="1">
      <c r="A385" s="1149" t="s">
        <v>420</v>
      </c>
      <c r="B385" s="1149" t="s">
        <v>144</v>
      </c>
      <c r="C385" s="1149" t="s">
        <v>145</v>
      </c>
      <c r="D385" s="1149" t="s">
        <v>273</v>
      </c>
      <c r="E385" s="1150" t="s">
        <v>275</v>
      </c>
      <c r="F385" s="1149" t="s">
        <v>147</v>
      </c>
      <c r="G385" s="1149" t="s">
        <v>173</v>
      </c>
    </row>
    <row r="386" spans="1:7" outlineLevel="1">
      <c r="A386" s="1149" t="s">
        <v>652</v>
      </c>
      <c r="B386" s="1149" t="s">
        <v>202</v>
      </c>
      <c r="C386" s="1149" t="s">
        <v>203</v>
      </c>
      <c r="D386" s="1149" t="s">
        <v>99</v>
      </c>
      <c r="E386" s="1150" t="s">
        <v>277</v>
      </c>
      <c r="F386" s="1149" t="s">
        <v>1238</v>
      </c>
      <c r="G386" s="1149" t="s">
        <v>187</v>
      </c>
    </row>
    <row r="387" spans="1:7" outlineLevel="1">
      <c r="A387" s="1149" t="s">
        <v>653</v>
      </c>
      <c r="B387" s="1149" t="s">
        <v>202</v>
      </c>
      <c r="C387" s="1149" t="s">
        <v>203</v>
      </c>
      <c r="D387" s="1149" t="s">
        <v>99</v>
      </c>
      <c r="E387" s="1150" t="s">
        <v>277</v>
      </c>
      <c r="F387" s="1149" t="s">
        <v>1238</v>
      </c>
      <c r="G387" s="1149" t="s">
        <v>187</v>
      </c>
    </row>
    <row r="388" spans="1:7" outlineLevel="1">
      <c r="A388" s="1149" t="s">
        <v>622</v>
      </c>
      <c r="B388" s="1149" t="s">
        <v>199</v>
      </c>
      <c r="C388" s="1149" t="s">
        <v>617</v>
      </c>
      <c r="D388" s="1149" t="s">
        <v>273</v>
      </c>
      <c r="E388" s="1150" t="s">
        <v>275</v>
      </c>
      <c r="F388" s="1149" t="s">
        <v>147</v>
      </c>
      <c r="G388" s="1149" t="s">
        <v>173</v>
      </c>
    </row>
    <row r="389" spans="1:7" outlineLevel="1">
      <c r="A389" s="1149" t="s">
        <v>484</v>
      </c>
      <c r="B389" s="1149" t="s">
        <v>164</v>
      </c>
      <c r="C389" s="1149" t="s">
        <v>165</v>
      </c>
      <c r="D389" s="1149" t="s">
        <v>99</v>
      </c>
      <c r="E389" s="1150" t="s">
        <v>733</v>
      </c>
      <c r="F389" s="1149" t="s">
        <v>141</v>
      </c>
      <c r="G389" s="1149" t="s">
        <v>187</v>
      </c>
    </row>
    <row r="390" spans="1:7" outlineLevel="1">
      <c r="A390" s="1149" t="s">
        <v>675</v>
      </c>
      <c r="B390" s="1149" t="s">
        <v>206</v>
      </c>
      <c r="C390" s="1149" t="s">
        <v>207</v>
      </c>
      <c r="D390" s="1149" t="s">
        <v>99</v>
      </c>
      <c r="E390" s="1150" t="s">
        <v>237</v>
      </c>
      <c r="F390" s="1149" t="s">
        <v>131</v>
      </c>
      <c r="G390" s="1149" t="s">
        <v>187</v>
      </c>
    </row>
    <row r="391" spans="1:7" outlineLevel="1">
      <c r="A391" s="1149" t="s">
        <v>572</v>
      </c>
      <c r="B391" s="1149" t="s">
        <v>182</v>
      </c>
      <c r="C391" s="1149" t="s">
        <v>269</v>
      </c>
      <c r="D391" s="1149" t="s">
        <v>99</v>
      </c>
      <c r="E391" s="1150" t="s">
        <v>277</v>
      </c>
      <c r="F391" s="1149" t="s">
        <v>1238</v>
      </c>
      <c r="G391" s="1149" t="s">
        <v>187</v>
      </c>
    </row>
    <row r="392" spans="1:7" outlineLevel="1">
      <c r="A392" s="1149" t="s">
        <v>550</v>
      </c>
      <c r="B392" s="1149" t="s">
        <v>179</v>
      </c>
      <c r="C392" s="1149" t="s">
        <v>268</v>
      </c>
      <c r="D392" s="1149" t="s">
        <v>99</v>
      </c>
      <c r="E392" s="1150" t="s">
        <v>276</v>
      </c>
      <c r="F392" s="1149" t="s">
        <v>149</v>
      </c>
      <c r="G392" s="1149" t="s">
        <v>187</v>
      </c>
    </row>
    <row r="393" spans="1:7" outlineLevel="1">
      <c r="A393" s="1149" t="s">
        <v>407</v>
      </c>
      <c r="B393" s="1149" t="s">
        <v>138</v>
      </c>
      <c r="C393" s="1149" t="s">
        <v>139</v>
      </c>
      <c r="D393" s="1149" t="s">
        <v>99</v>
      </c>
      <c r="E393" s="1150" t="s">
        <v>275</v>
      </c>
      <c r="F393" s="1149" t="s">
        <v>141</v>
      </c>
      <c r="G393" s="1149" t="s">
        <v>187</v>
      </c>
    </row>
    <row r="394" spans="1:7" outlineLevel="1">
      <c r="A394" s="1149" t="s">
        <v>536</v>
      </c>
      <c r="B394" s="1149" t="s">
        <v>176</v>
      </c>
      <c r="C394" s="1149" t="s">
        <v>272</v>
      </c>
      <c r="D394" s="1149" t="s">
        <v>99</v>
      </c>
      <c r="E394" s="1150" t="s">
        <v>277</v>
      </c>
      <c r="F394" s="1149" t="s">
        <v>1238</v>
      </c>
      <c r="G394" s="1149" t="s">
        <v>187</v>
      </c>
    </row>
    <row r="395" spans="1:7" outlineLevel="1">
      <c r="A395" s="1149" t="s">
        <v>692</v>
      </c>
      <c r="B395" s="1149" t="s">
        <v>208</v>
      </c>
      <c r="C395" s="1149" t="s">
        <v>209</v>
      </c>
      <c r="D395" s="1149" t="s">
        <v>99</v>
      </c>
      <c r="E395" s="1150" t="s">
        <v>276</v>
      </c>
      <c r="F395" s="1149" t="s">
        <v>149</v>
      </c>
      <c r="G395" s="1149" t="s">
        <v>187</v>
      </c>
    </row>
    <row r="396" spans="1:7" outlineLevel="1">
      <c r="A396" s="1149" t="s">
        <v>449</v>
      </c>
      <c r="B396" s="1149" t="s">
        <v>154</v>
      </c>
      <c r="C396" s="1149" t="s">
        <v>445</v>
      </c>
      <c r="D396" s="1149" t="s">
        <v>273</v>
      </c>
      <c r="E396" s="1150" t="s">
        <v>275</v>
      </c>
      <c r="F396" s="1149" t="s">
        <v>147</v>
      </c>
      <c r="G396" s="1149" t="s">
        <v>173</v>
      </c>
    </row>
    <row r="397" spans="1:7" outlineLevel="1">
      <c r="A397" s="1149" t="s">
        <v>494</v>
      </c>
      <c r="B397" s="1149" t="s">
        <v>169</v>
      </c>
      <c r="C397" s="1149" t="s">
        <v>170</v>
      </c>
      <c r="D397" s="1149" t="s">
        <v>99</v>
      </c>
      <c r="E397" s="1150" t="s">
        <v>733</v>
      </c>
      <c r="F397" s="1149" t="s">
        <v>141</v>
      </c>
      <c r="G397" s="1149" t="s">
        <v>187</v>
      </c>
    </row>
    <row r="398" spans="1:7" outlineLevel="1">
      <c r="A398" s="1149" t="s">
        <v>613</v>
      </c>
      <c r="B398" s="1149" t="s">
        <v>195</v>
      </c>
      <c r="C398" s="1149" t="s">
        <v>196</v>
      </c>
      <c r="D398" s="1149" t="s">
        <v>99</v>
      </c>
      <c r="E398" s="1150" t="s">
        <v>237</v>
      </c>
      <c r="F398" s="1149" t="s">
        <v>131</v>
      </c>
      <c r="G398" s="1149" t="s">
        <v>187</v>
      </c>
    </row>
    <row r="399" spans="1:7" outlineLevel="1">
      <c r="A399" s="1149" t="s">
        <v>504</v>
      </c>
      <c r="B399" s="1149" t="s">
        <v>168</v>
      </c>
      <c r="C399" s="1149" t="s">
        <v>168</v>
      </c>
      <c r="D399" s="1149" t="s">
        <v>99</v>
      </c>
      <c r="E399" s="1150" t="s">
        <v>733</v>
      </c>
      <c r="F399" s="1149" t="s">
        <v>141</v>
      </c>
      <c r="G399" s="1149" t="s">
        <v>187</v>
      </c>
    </row>
    <row r="400" spans="1:7" outlineLevel="1">
      <c r="A400" s="1149" t="s">
        <v>440</v>
      </c>
      <c r="B400" s="1149" t="s">
        <v>150</v>
      </c>
      <c r="C400" s="1149" t="s">
        <v>151</v>
      </c>
      <c r="D400" s="1149" t="s">
        <v>273</v>
      </c>
      <c r="E400" s="1150" t="s">
        <v>277</v>
      </c>
      <c r="F400" s="1149" t="s">
        <v>1238</v>
      </c>
      <c r="G400" s="1149" t="s">
        <v>173</v>
      </c>
    </row>
    <row r="401" spans="1:7" outlineLevel="1">
      <c r="A401" s="1149" t="s">
        <v>623</v>
      </c>
      <c r="B401" s="1149" t="s">
        <v>199</v>
      </c>
      <c r="C401" s="1149" t="s">
        <v>617</v>
      </c>
      <c r="D401" s="1149" t="s">
        <v>273</v>
      </c>
      <c r="E401" s="1150" t="s">
        <v>275</v>
      </c>
      <c r="F401" s="1149" t="s">
        <v>147</v>
      </c>
      <c r="G401" s="1149" t="s">
        <v>173</v>
      </c>
    </row>
    <row r="402" spans="1:7" outlineLevel="1">
      <c r="A402" s="1149" t="s">
        <v>505</v>
      </c>
      <c r="B402" s="1149" t="s">
        <v>168</v>
      </c>
      <c r="C402" s="1149" t="s">
        <v>168</v>
      </c>
      <c r="D402" s="1149" t="s">
        <v>99</v>
      </c>
      <c r="E402" s="1150" t="s">
        <v>733</v>
      </c>
      <c r="F402" s="1149" t="s">
        <v>141</v>
      </c>
      <c r="G402" s="1149" t="s">
        <v>187</v>
      </c>
    </row>
    <row r="403" spans="1:7" outlineLevel="1">
      <c r="A403" s="1149" t="s">
        <v>583</v>
      </c>
      <c r="B403" s="1149" t="s">
        <v>188</v>
      </c>
      <c r="C403" s="1149" t="s">
        <v>579</v>
      </c>
      <c r="D403" s="1149" t="s">
        <v>273</v>
      </c>
      <c r="E403" s="1150" t="s">
        <v>275</v>
      </c>
      <c r="F403" s="1149" t="s">
        <v>147</v>
      </c>
      <c r="G403" s="1149" t="s">
        <v>173</v>
      </c>
    </row>
    <row r="404" spans="1:7" outlineLevel="1">
      <c r="A404" s="1149" t="s">
        <v>551</v>
      </c>
      <c r="B404" s="1149" t="s">
        <v>179</v>
      </c>
      <c r="C404" s="1149" t="s">
        <v>268</v>
      </c>
      <c r="D404" s="1149" t="s">
        <v>99</v>
      </c>
      <c r="E404" s="1150" t="s">
        <v>276</v>
      </c>
      <c r="F404" s="1149" t="s">
        <v>149</v>
      </c>
      <c r="G404" s="1149" t="s">
        <v>187</v>
      </c>
    </row>
    <row r="405" spans="1:7" outlineLevel="1">
      <c r="A405" s="1149" t="s">
        <v>552</v>
      </c>
      <c r="B405" s="1149" t="s">
        <v>179</v>
      </c>
      <c r="C405" s="1149" t="s">
        <v>268</v>
      </c>
      <c r="D405" s="1149" t="s">
        <v>99</v>
      </c>
      <c r="E405" s="1150" t="s">
        <v>276</v>
      </c>
      <c r="F405" s="1149" t="s">
        <v>149</v>
      </c>
      <c r="G405" s="1149" t="s">
        <v>187</v>
      </c>
    </row>
    <row r="406" spans="1:7" outlineLevel="1">
      <c r="A406" s="1149" t="s">
        <v>421</v>
      </c>
      <c r="B406" s="1149" t="s">
        <v>144</v>
      </c>
      <c r="C406" s="1149" t="s">
        <v>145</v>
      </c>
      <c r="D406" s="1149" t="s">
        <v>273</v>
      </c>
      <c r="E406" s="1150" t="s">
        <v>275</v>
      </c>
      <c r="F406" s="1149" t="s">
        <v>147</v>
      </c>
      <c r="G406" s="1149" t="s">
        <v>173</v>
      </c>
    </row>
    <row r="407" spans="1:7" outlineLevel="1">
      <c r="A407" s="1149" t="s">
        <v>506</v>
      </c>
      <c r="B407" s="1149" t="s">
        <v>168</v>
      </c>
      <c r="C407" s="1149" t="s">
        <v>168</v>
      </c>
      <c r="D407" s="1149" t="s">
        <v>99</v>
      </c>
      <c r="E407" s="1150" t="s">
        <v>733</v>
      </c>
      <c r="F407" s="1149" t="s">
        <v>141</v>
      </c>
      <c r="G407" s="1149" t="s">
        <v>187</v>
      </c>
    </row>
    <row r="408" spans="1:7" outlineLevel="1">
      <c r="A408" s="1149" t="s">
        <v>676</v>
      </c>
      <c r="B408" s="1149" t="s">
        <v>206</v>
      </c>
      <c r="C408" s="1149" t="s">
        <v>207</v>
      </c>
      <c r="D408" s="1149" t="s">
        <v>99</v>
      </c>
      <c r="E408" s="1150" t="s">
        <v>237</v>
      </c>
      <c r="F408" s="1149" t="s">
        <v>131</v>
      </c>
      <c r="G408" s="1149" t="s">
        <v>187</v>
      </c>
    </row>
    <row r="409" spans="1:7" outlineLevel="1">
      <c r="A409" s="1149" t="s">
        <v>677</v>
      </c>
      <c r="B409" s="1149" t="s">
        <v>206</v>
      </c>
      <c r="C409" s="1149" t="s">
        <v>207</v>
      </c>
      <c r="D409" s="1149" t="s">
        <v>99</v>
      </c>
      <c r="E409" s="1150" t="s">
        <v>237</v>
      </c>
      <c r="F409" s="1149" t="s">
        <v>131</v>
      </c>
      <c r="G409" s="1149" t="s">
        <v>187</v>
      </c>
    </row>
    <row r="410" spans="1:7" outlineLevel="1">
      <c r="A410" s="1149" t="s">
        <v>181</v>
      </c>
      <c r="B410" s="1149" t="s">
        <v>180</v>
      </c>
      <c r="C410" s="1149" t="s">
        <v>181</v>
      </c>
      <c r="D410" s="1149" t="s">
        <v>273</v>
      </c>
      <c r="E410" s="1150" t="s">
        <v>732</v>
      </c>
      <c r="F410" s="1149" t="s">
        <v>147</v>
      </c>
      <c r="G410" s="1149" t="s">
        <v>173</v>
      </c>
    </row>
    <row r="411" spans="1:7" outlineLevel="1">
      <c r="A411" s="1149" t="s">
        <v>573</v>
      </c>
      <c r="B411" s="1149" t="s">
        <v>182</v>
      </c>
      <c r="C411" s="1149" t="s">
        <v>269</v>
      </c>
      <c r="D411" s="1149" t="s">
        <v>99</v>
      </c>
      <c r="E411" s="1150" t="s">
        <v>277</v>
      </c>
      <c r="F411" s="1149" t="s">
        <v>1238</v>
      </c>
      <c r="G411" s="1149" t="s">
        <v>187</v>
      </c>
    </row>
    <row r="412" spans="1:7" outlineLevel="1">
      <c r="A412" s="1149" t="s">
        <v>726</v>
      </c>
      <c r="B412" s="1149" t="s">
        <v>214</v>
      </c>
      <c r="C412" s="1149" t="s">
        <v>215</v>
      </c>
      <c r="D412" s="1149" t="s">
        <v>273</v>
      </c>
      <c r="E412" s="1150" t="s">
        <v>732</v>
      </c>
      <c r="F412" s="1149" t="s">
        <v>147</v>
      </c>
      <c r="G412" s="1149" t="s">
        <v>173</v>
      </c>
    </row>
    <row r="413" spans="1:7" outlineLevel="1">
      <c r="A413" s="1149" t="s">
        <v>654</v>
      </c>
      <c r="B413" s="1149" t="s">
        <v>202</v>
      </c>
      <c r="C413" s="1149" t="s">
        <v>203</v>
      </c>
      <c r="D413" s="1149" t="s">
        <v>99</v>
      </c>
      <c r="E413" s="1150" t="s">
        <v>277</v>
      </c>
      <c r="F413" s="1149" t="s">
        <v>1238</v>
      </c>
      <c r="G413" s="1149" t="s">
        <v>187</v>
      </c>
    </row>
    <row r="414" spans="1:7" outlineLevel="1">
      <c r="A414" s="1149" t="s">
        <v>655</v>
      </c>
      <c r="B414" s="1149" t="s">
        <v>202</v>
      </c>
      <c r="C414" s="1149" t="s">
        <v>203</v>
      </c>
      <c r="D414" s="1149" t="s">
        <v>99</v>
      </c>
      <c r="E414" s="1150" t="s">
        <v>277</v>
      </c>
      <c r="F414" s="1149" t="s">
        <v>1238</v>
      </c>
      <c r="G414" s="1149" t="s">
        <v>187</v>
      </c>
    </row>
    <row r="415" spans="1:7" outlineLevel="1">
      <c r="A415" s="1149" t="s">
        <v>656</v>
      </c>
      <c r="B415" s="1149" t="s">
        <v>202</v>
      </c>
      <c r="C415" s="1149" t="s">
        <v>203</v>
      </c>
      <c r="D415" s="1149" t="s">
        <v>99</v>
      </c>
      <c r="E415" s="1150" t="s">
        <v>277</v>
      </c>
      <c r="F415" s="1149" t="s">
        <v>1238</v>
      </c>
      <c r="G415" s="1149" t="s">
        <v>187</v>
      </c>
    </row>
    <row r="416" spans="1:7" outlineLevel="1">
      <c r="A416" s="1149" t="s">
        <v>184</v>
      </c>
      <c r="B416" s="1149" t="s">
        <v>183</v>
      </c>
      <c r="C416" s="1149" t="s">
        <v>184</v>
      </c>
      <c r="D416" s="1149" t="s">
        <v>273</v>
      </c>
      <c r="E416" s="1150" t="s">
        <v>275</v>
      </c>
      <c r="F416" s="1149" t="s">
        <v>147</v>
      </c>
      <c r="G416" s="1149" t="s">
        <v>173</v>
      </c>
    </row>
    <row r="417" spans="1:7" outlineLevel="1">
      <c r="A417" s="1149" t="s">
        <v>562</v>
      </c>
      <c r="B417" s="1149" t="s">
        <v>180</v>
      </c>
      <c r="C417" s="1149" t="s">
        <v>181</v>
      </c>
      <c r="D417" s="1149" t="s">
        <v>273</v>
      </c>
      <c r="E417" s="1150" t="s">
        <v>732</v>
      </c>
      <c r="F417" s="1149" t="s">
        <v>147</v>
      </c>
      <c r="G417" s="1149" t="s">
        <v>173</v>
      </c>
    </row>
    <row r="418" spans="1:7" outlineLevel="1">
      <c r="A418" s="1149" t="s">
        <v>360</v>
      </c>
      <c r="B418" s="1149" t="s">
        <v>124</v>
      </c>
      <c r="C418" s="1149" t="s">
        <v>125</v>
      </c>
      <c r="D418" s="1149" t="s">
        <v>273</v>
      </c>
      <c r="E418" s="1150" t="s">
        <v>732</v>
      </c>
      <c r="F418" s="1149" t="s">
        <v>147</v>
      </c>
      <c r="G418" s="1149" t="s">
        <v>173</v>
      </c>
    </row>
    <row r="419" spans="1:7" outlineLevel="1">
      <c r="A419" s="1149" t="s">
        <v>450</v>
      </c>
      <c r="B419" s="1149" t="s">
        <v>154</v>
      </c>
      <c r="C419" s="1149" t="s">
        <v>445</v>
      </c>
      <c r="D419" s="1149" t="s">
        <v>273</v>
      </c>
      <c r="E419" s="1150" t="s">
        <v>275</v>
      </c>
      <c r="F419" s="1149" t="s">
        <v>147</v>
      </c>
      <c r="G419" s="1149" t="s">
        <v>173</v>
      </c>
    </row>
    <row r="420" spans="1:7" outlineLevel="1">
      <c r="A420" s="1149" t="s">
        <v>624</v>
      </c>
      <c r="B420" s="1149" t="s">
        <v>199</v>
      </c>
      <c r="C420" s="1149" t="s">
        <v>617</v>
      </c>
      <c r="D420" s="1149" t="s">
        <v>273</v>
      </c>
      <c r="E420" s="1150" t="s">
        <v>275</v>
      </c>
      <c r="F420" s="1149" t="s">
        <v>147</v>
      </c>
      <c r="G420" s="1149" t="s">
        <v>173</v>
      </c>
    </row>
    <row r="421" spans="1:7" outlineLevel="1">
      <c r="A421" s="1149" t="s">
        <v>1232</v>
      </c>
      <c r="B421" s="1149" t="s">
        <v>185</v>
      </c>
      <c r="C421" s="1149" t="s">
        <v>577</v>
      </c>
      <c r="D421" s="1149" t="s">
        <v>273</v>
      </c>
      <c r="E421" s="1150" t="s">
        <v>275</v>
      </c>
      <c r="F421" s="1149" t="s">
        <v>147</v>
      </c>
      <c r="G421" s="1149" t="s">
        <v>173</v>
      </c>
    </row>
    <row r="422" spans="1:7" outlineLevel="1">
      <c r="A422" s="1149" t="s">
        <v>187</v>
      </c>
      <c r="B422" s="1149" t="s">
        <v>186</v>
      </c>
      <c r="C422" s="1149" t="s">
        <v>187</v>
      </c>
      <c r="D422" s="1149" t="s">
        <v>99</v>
      </c>
      <c r="E422" s="1150" t="s">
        <v>277</v>
      </c>
      <c r="F422" s="1149" t="s">
        <v>1238</v>
      </c>
    </row>
    <row r="423" spans="1:7" outlineLevel="1">
      <c r="A423" s="1149" t="s">
        <v>553</v>
      </c>
      <c r="B423" s="1149" t="s">
        <v>179</v>
      </c>
      <c r="C423" s="1149" t="s">
        <v>268</v>
      </c>
      <c r="D423" s="1149" t="s">
        <v>99</v>
      </c>
      <c r="E423" s="1150" t="s">
        <v>276</v>
      </c>
      <c r="F423" s="1149" t="s">
        <v>149</v>
      </c>
      <c r="G423" s="1149" t="s">
        <v>187</v>
      </c>
    </row>
    <row r="424" spans="1:7" outlineLevel="1">
      <c r="A424" s="1149" t="s">
        <v>644</v>
      </c>
      <c r="B424" s="1149" t="s">
        <v>200</v>
      </c>
      <c r="C424" s="1149" t="s">
        <v>201</v>
      </c>
      <c r="D424" s="1149" t="s">
        <v>99</v>
      </c>
      <c r="E424" s="1150" t="s">
        <v>275</v>
      </c>
      <c r="F424" s="1149" t="s">
        <v>141</v>
      </c>
      <c r="G424" s="1149" t="s">
        <v>187</v>
      </c>
    </row>
    <row r="425" spans="1:7" outlineLevel="1">
      <c r="A425" s="1149" t="s">
        <v>700</v>
      </c>
      <c r="B425" s="1149" t="s">
        <v>210</v>
      </c>
      <c r="C425" s="1149" t="s">
        <v>211</v>
      </c>
      <c r="D425" s="1149" t="s">
        <v>273</v>
      </c>
      <c r="E425" s="1150" t="s">
        <v>276</v>
      </c>
      <c r="F425" s="1149" t="s">
        <v>149</v>
      </c>
      <c r="G425" s="1149" t="s">
        <v>173</v>
      </c>
    </row>
    <row r="426" spans="1:7" outlineLevel="1">
      <c r="A426" s="1149" t="s">
        <v>678</v>
      </c>
      <c r="B426" s="1149" t="s">
        <v>206</v>
      </c>
      <c r="C426" s="1149" t="s">
        <v>207</v>
      </c>
      <c r="D426" s="1149" t="s">
        <v>99</v>
      </c>
      <c r="E426" s="1150" t="s">
        <v>237</v>
      </c>
      <c r="F426" s="1149" t="s">
        <v>131</v>
      </c>
      <c r="G426" s="1149" t="s">
        <v>187</v>
      </c>
    </row>
    <row r="427" spans="1:7" outlineLevel="1">
      <c r="A427" s="1149" t="s">
        <v>554</v>
      </c>
      <c r="B427" s="1149" t="s">
        <v>179</v>
      </c>
      <c r="C427" s="1149" t="s">
        <v>268</v>
      </c>
      <c r="D427" s="1149" t="s">
        <v>99</v>
      </c>
      <c r="E427" s="1150" t="s">
        <v>276</v>
      </c>
      <c r="F427" s="1149" t="s">
        <v>149</v>
      </c>
      <c r="G427" s="1149" t="s">
        <v>187</v>
      </c>
    </row>
    <row r="428" spans="1:7" outlineLevel="1">
      <c r="A428" s="1149" t="s">
        <v>727</v>
      </c>
      <c r="B428" s="1149" t="s">
        <v>214</v>
      </c>
      <c r="C428" s="1149" t="s">
        <v>215</v>
      </c>
      <c r="D428" s="1149" t="s">
        <v>273</v>
      </c>
      <c r="E428" s="1150" t="s">
        <v>732</v>
      </c>
      <c r="F428" s="1149" t="s">
        <v>147</v>
      </c>
      <c r="G428" s="1149" t="s">
        <v>173</v>
      </c>
    </row>
    <row r="429" spans="1:7" outlineLevel="1">
      <c r="A429" s="1149" t="s">
        <v>645</v>
      </c>
      <c r="B429" s="1149" t="s">
        <v>200</v>
      </c>
      <c r="C429" s="1149" t="s">
        <v>201</v>
      </c>
      <c r="D429" s="1149" t="s">
        <v>99</v>
      </c>
      <c r="E429" s="1150" t="s">
        <v>275</v>
      </c>
      <c r="F429" s="1149" t="s">
        <v>141</v>
      </c>
      <c r="G429" s="1149" t="s">
        <v>187</v>
      </c>
    </row>
    <row r="430" spans="1:7" outlineLevel="1">
      <c r="A430" s="1149" t="s">
        <v>625</v>
      </c>
      <c r="B430" s="1149" t="s">
        <v>199</v>
      </c>
      <c r="C430" s="1149" t="s">
        <v>617</v>
      </c>
      <c r="D430" s="1149" t="s">
        <v>273</v>
      </c>
      <c r="E430" s="1150" t="s">
        <v>275</v>
      </c>
      <c r="F430" s="1149" t="s">
        <v>147</v>
      </c>
      <c r="G430" s="1149" t="s">
        <v>173</v>
      </c>
    </row>
    <row r="431" spans="1:7" outlineLevel="1">
      <c r="A431" s="1149" t="s">
        <v>579</v>
      </c>
      <c r="B431" s="1149" t="s">
        <v>188</v>
      </c>
      <c r="C431" s="1149" t="s">
        <v>579</v>
      </c>
      <c r="D431" s="1149" t="s">
        <v>273</v>
      </c>
      <c r="E431" s="1150" t="s">
        <v>275</v>
      </c>
      <c r="F431" s="1149" t="s">
        <v>147</v>
      </c>
      <c r="G431" s="1149" t="s">
        <v>173</v>
      </c>
    </row>
    <row r="432" spans="1:7" outlineLevel="1">
      <c r="A432" s="1149" t="s">
        <v>422</v>
      </c>
      <c r="B432" s="1149" t="s">
        <v>144</v>
      </c>
      <c r="C432" s="1149" t="s">
        <v>145</v>
      </c>
      <c r="D432" s="1149" t="s">
        <v>273</v>
      </c>
      <c r="E432" s="1150" t="s">
        <v>275</v>
      </c>
      <c r="F432" s="1149" t="s">
        <v>147</v>
      </c>
      <c r="G432" s="1149" t="s">
        <v>173</v>
      </c>
    </row>
    <row r="433" spans="1:7" outlineLevel="1">
      <c r="A433" s="1149" t="s">
        <v>626</v>
      </c>
      <c r="B433" s="1149" t="s">
        <v>199</v>
      </c>
      <c r="C433" s="1149" t="s">
        <v>617</v>
      </c>
      <c r="D433" s="1149" t="s">
        <v>273</v>
      </c>
      <c r="E433" s="1150" t="s">
        <v>275</v>
      </c>
      <c r="F433" s="1149" t="s">
        <v>147</v>
      </c>
      <c r="G433" s="1149" t="s">
        <v>173</v>
      </c>
    </row>
    <row r="434" spans="1:7" outlineLevel="1">
      <c r="A434" s="1149" t="s">
        <v>701</v>
      </c>
      <c r="B434" s="1149" t="s">
        <v>210</v>
      </c>
      <c r="C434" s="1149" t="s">
        <v>211</v>
      </c>
      <c r="D434" s="1149" t="s">
        <v>273</v>
      </c>
      <c r="E434" s="1150" t="s">
        <v>276</v>
      </c>
      <c r="F434" s="1149" t="s">
        <v>149</v>
      </c>
      <c r="G434" s="1149" t="s">
        <v>173</v>
      </c>
    </row>
    <row r="435" spans="1:7" outlineLevel="1">
      <c r="A435" s="1149" t="s">
        <v>423</v>
      </c>
      <c r="B435" s="1149" t="s">
        <v>144</v>
      </c>
      <c r="C435" s="1149" t="s">
        <v>145</v>
      </c>
      <c r="D435" s="1149" t="s">
        <v>273</v>
      </c>
      <c r="E435" s="1150" t="s">
        <v>275</v>
      </c>
      <c r="F435" s="1149" t="s">
        <v>147</v>
      </c>
      <c r="G435" s="1149" t="s">
        <v>173</v>
      </c>
    </row>
    <row r="436" spans="1:7" outlineLevel="1">
      <c r="A436" s="1149" t="s">
        <v>495</v>
      </c>
      <c r="B436" s="1149" t="s">
        <v>169</v>
      </c>
      <c r="C436" s="1149" t="s">
        <v>170</v>
      </c>
      <c r="D436" s="1149" t="s">
        <v>99</v>
      </c>
      <c r="E436" s="1150" t="s">
        <v>733</v>
      </c>
      <c r="F436" s="1149" t="s">
        <v>141</v>
      </c>
      <c r="G436" s="1149" t="s">
        <v>187</v>
      </c>
    </row>
    <row r="437" spans="1:7" outlineLevel="1">
      <c r="A437" s="1149" t="s">
        <v>408</v>
      </c>
      <c r="B437" s="1149" t="s">
        <v>138</v>
      </c>
      <c r="C437" s="1149" t="s">
        <v>139</v>
      </c>
      <c r="D437" s="1149" t="s">
        <v>99</v>
      </c>
      <c r="E437" s="1150" t="s">
        <v>275</v>
      </c>
      <c r="F437" s="1149" t="s">
        <v>141</v>
      </c>
      <c r="G437" s="1149" t="s">
        <v>187</v>
      </c>
    </row>
    <row r="438" spans="1:7" outlineLevel="1">
      <c r="A438" s="1149" t="s">
        <v>679</v>
      </c>
      <c r="B438" s="1149" t="s">
        <v>206</v>
      </c>
      <c r="C438" s="1149" t="s">
        <v>207</v>
      </c>
      <c r="D438" s="1149" t="s">
        <v>99</v>
      </c>
      <c r="E438" s="1150" t="s">
        <v>237</v>
      </c>
      <c r="F438" s="1149" t="s">
        <v>131</v>
      </c>
      <c r="G438" s="1149" t="s">
        <v>187</v>
      </c>
    </row>
    <row r="439" spans="1:7" outlineLevel="1">
      <c r="A439" s="1149" t="s">
        <v>424</v>
      </c>
      <c r="B439" s="1149" t="s">
        <v>144</v>
      </c>
      <c r="C439" s="1149" t="s">
        <v>145</v>
      </c>
      <c r="D439" s="1149" t="s">
        <v>273</v>
      </c>
      <c r="E439" s="1150" t="s">
        <v>275</v>
      </c>
      <c r="F439" s="1149" t="s">
        <v>147</v>
      </c>
      <c r="G439" s="1149" t="s">
        <v>173</v>
      </c>
    </row>
    <row r="440" spans="1:7" outlineLevel="1">
      <c r="A440" s="1149" t="s">
        <v>409</v>
      </c>
      <c r="B440" s="1149" t="s">
        <v>138</v>
      </c>
      <c r="C440" s="1149" t="s">
        <v>139</v>
      </c>
      <c r="D440" s="1149" t="s">
        <v>99</v>
      </c>
      <c r="E440" s="1150" t="s">
        <v>275</v>
      </c>
      <c r="F440" s="1149" t="s">
        <v>141</v>
      </c>
      <c r="G440" s="1149" t="s">
        <v>187</v>
      </c>
    </row>
    <row r="441" spans="1:7" outlineLevel="1">
      <c r="A441" s="1149" t="s">
        <v>451</v>
      </c>
      <c r="B441" s="1149" t="s">
        <v>154</v>
      </c>
      <c r="C441" s="1149" t="s">
        <v>445</v>
      </c>
      <c r="D441" s="1149" t="s">
        <v>273</v>
      </c>
      <c r="E441" s="1150" t="s">
        <v>275</v>
      </c>
      <c r="F441" s="1149" t="s">
        <v>147</v>
      </c>
      <c r="G441" s="1149" t="s">
        <v>173</v>
      </c>
    </row>
    <row r="442" spans="1:7" outlineLevel="1">
      <c r="A442" s="1149" t="s">
        <v>190</v>
      </c>
      <c r="B442" s="1149" t="s">
        <v>189</v>
      </c>
      <c r="C442" s="1149" t="s">
        <v>190</v>
      </c>
      <c r="D442" s="1149" t="s">
        <v>273</v>
      </c>
      <c r="E442" s="1150" t="s">
        <v>237</v>
      </c>
      <c r="F442" s="1149" t="s">
        <v>131</v>
      </c>
      <c r="G442" s="1149" t="s">
        <v>173</v>
      </c>
    </row>
    <row r="443" spans="1:7" outlineLevel="1">
      <c r="A443" s="1149" t="s">
        <v>680</v>
      </c>
      <c r="B443" s="1149" t="s">
        <v>206</v>
      </c>
      <c r="C443" s="1149" t="s">
        <v>207</v>
      </c>
      <c r="D443" s="1149" t="s">
        <v>99</v>
      </c>
      <c r="E443" s="1150" t="s">
        <v>237</v>
      </c>
      <c r="F443" s="1149" t="s">
        <v>131</v>
      </c>
      <c r="G443" s="1149" t="s">
        <v>187</v>
      </c>
    </row>
    <row r="444" spans="1:7" outlineLevel="1">
      <c r="A444" s="1149" t="s">
        <v>377</v>
      </c>
      <c r="B444" s="1149" t="s">
        <v>127</v>
      </c>
      <c r="C444" s="1149" t="s">
        <v>271</v>
      </c>
      <c r="D444" s="1149" t="s">
        <v>273</v>
      </c>
      <c r="E444" s="1150" t="s">
        <v>732</v>
      </c>
      <c r="F444" s="1149" t="s">
        <v>147</v>
      </c>
      <c r="G444" s="1149" t="s">
        <v>173</v>
      </c>
    </row>
    <row r="445" spans="1:7" outlineLevel="1">
      <c r="A445" s="1149" t="s">
        <v>711</v>
      </c>
      <c r="B445" s="1149" t="s">
        <v>212</v>
      </c>
      <c r="C445" s="1149" t="s">
        <v>213</v>
      </c>
      <c r="D445" s="1149" t="s">
        <v>99</v>
      </c>
      <c r="E445" s="1150" t="s">
        <v>237</v>
      </c>
      <c r="F445" s="1149" t="s">
        <v>131</v>
      </c>
      <c r="G445" s="1149" t="s">
        <v>187</v>
      </c>
    </row>
    <row r="446" spans="1:7" outlineLevel="1">
      <c r="A446" s="1149" t="s">
        <v>712</v>
      </c>
      <c r="B446" s="1149" t="s">
        <v>212</v>
      </c>
      <c r="C446" s="1149" t="s">
        <v>213</v>
      </c>
      <c r="D446" s="1149" t="s">
        <v>99</v>
      </c>
      <c r="E446" s="1150" t="s">
        <v>237</v>
      </c>
      <c r="F446" s="1149" t="s">
        <v>131</v>
      </c>
      <c r="G446" s="1149" t="s">
        <v>187</v>
      </c>
    </row>
    <row r="447" spans="1:7" outlineLevel="1">
      <c r="A447" s="1149" t="s">
        <v>614</v>
      </c>
      <c r="B447" s="1149" t="s">
        <v>195</v>
      </c>
      <c r="C447" s="1149" t="s">
        <v>196</v>
      </c>
      <c r="D447" s="1149" t="s">
        <v>99</v>
      </c>
      <c r="E447" s="1150" t="s">
        <v>237</v>
      </c>
      <c r="F447" s="1149" t="s">
        <v>131</v>
      </c>
      <c r="G447" s="1149" t="s">
        <v>187</v>
      </c>
    </row>
    <row r="448" spans="1:7" outlineLevel="1">
      <c r="A448" s="1149" t="s">
        <v>537</v>
      </c>
      <c r="B448" s="1149" t="s">
        <v>176</v>
      </c>
      <c r="C448" s="1149" t="s">
        <v>272</v>
      </c>
      <c r="D448" s="1149" t="s">
        <v>99</v>
      </c>
      <c r="E448" s="1150" t="s">
        <v>277</v>
      </c>
      <c r="F448" s="1149" t="s">
        <v>1238</v>
      </c>
      <c r="G448" s="1149" t="s">
        <v>187</v>
      </c>
    </row>
    <row r="449" spans="1:7" outlineLevel="1">
      <c r="A449" s="1149" t="s">
        <v>410</v>
      </c>
      <c r="B449" s="1149" t="s">
        <v>138</v>
      </c>
      <c r="C449" s="1149" t="s">
        <v>139</v>
      </c>
      <c r="D449" s="1149" t="s">
        <v>99</v>
      </c>
      <c r="E449" s="1150" t="s">
        <v>275</v>
      </c>
      <c r="F449" s="1149" t="s">
        <v>141</v>
      </c>
      <c r="G449" s="1149" t="s">
        <v>187</v>
      </c>
    </row>
    <row r="450" spans="1:7" outlineLevel="1">
      <c r="A450" s="1149" t="s">
        <v>192</v>
      </c>
      <c r="B450" s="1149" t="s">
        <v>191</v>
      </c>
      <c r="C450" s="1149" t="s">
        <v>192</v>
      </c>
      <c r="D450" s="1149" t="s">
        <v>99</v>
      </c>
      <c r="E450" s="1150" t="s">
        <v>733</v>
      </c>
      <c r="F450" s="1149" t="s">
        <v>141</v>
      </c>
      <c r="G450" s="1149" t="s">
        <v>187</v>
      </c>
    </row>
    <row r="451" spans="1:7" outlineLevel="1">
      <c r="A451" s="1149" t="s">
        <v>507</v>
      </c>
      <c r="B451" s="1149" t="s">
        <v>168</v>
      </c>
      <c r="C451" s="1149" t="s">
        <v>168</v>
      </c>
      <c r="D451" s="1149" t="s">
        <v>99</v>
      </c>
      <c r="E451" s="1150" t="s">
        <v>733</v>
      </c>
      <c r="F451" s="1149" t="s">
        <v>141</v>
      </c>
      <c r="G451" s="1149" t="s">
        <v>187</v>
      </c>
    </row>
    <row r="452" spans="1:7" outlineLevel="1">
      <c r="A452" s="1149" t="s">
        <v>713</v>
      </c>
      <c r="B452" s="1149" t="s">
        <v>212</v>
      </c>
      <c r="C452" s="1149" t="s">
        <v>213</v>
      </c>
      <c r="D452" s="1149" t="s">
        <v>99</v>
      </c>
      <c r="E452" s="1150" t="s">
        <v>237</v>
      </c>
      <c r="F452" s="1149" t="s">
        <v>131</v>
      </c>
      <c r="G452" s="1149" t="s">
        <v>187</v>
      </c>
    </row>
    <row r="453" spans="1:7" outlineLevel="1">
      <c r="A453" s="1149" t="s">
        <v>378</v>
      </c>
      <c r="B453" s="1149" t="s">
        <v>127</v>
      </c>
      <c r="C453" s="1149" t="s">
        <v>271</v>
      </c>
      <c r="D453" s="1149" t="s">
        <v>273</v>
      </c>
      <c r="E453" s="1150" t="s">
        <v>732</v>
      </c>
      <c r="F453" s="1149" t="s">
        <v>147</v>
      </c>
      <c r="G453" s="1149" t="s">
        <v>173</v>
      </c>
    </row>
    <row r="454" spans="1:7" outlineLevel="1">
      <c r="A454" s="1149" t="s">
        <v>194</v>
      </c>
      <c r="B454" s="1149" t="s">
        <v>193</v>
      </c>
      <c r="C454" s="1149" t="s">
        <v>194</v>
      </c>
      <c r="D454" s="1149" t="s">
        <v>99</v>
      </c>
      <c r="E454" s="1150" t="s">
        <v>733</v>
      </c>
      <c r="F454" s="1149" t="s">
        <v>141</v>
      </c>
      <c r="G454" s="1149" t="s">
        <v>187</v>
      </c>
    </row>
    <row r="455" spans="1:7" outlineLevel="1">
      <c r="A455" s="1149" t="s">
        <v>1233</v>
      </c>
      <c r="B455" s="1149" t="s">
        <v>193</v>
      </c>
      <c r="C455" s="1149" t="s">
        <v>194</v>
      </c>
      <c r="D455" s="1149" t="s">
        <v>99</v>
      </c>
      <c r="E455" s="1150" t="s">
        <v>733</v>
      </c>
      <c r="F455" s="1149" t="s">
        <v>141</v>
      </c>
      <c r="G455" s="1149" t="s">
        <v>187</v>
      </c>
    </row>
    <row r="456" spans="1:7" outlineLevel="1">
      <c r="A456" s="1149" t="s">
        <v>574</v>
      </c>
      <c r="B456" s="1149" t="s">
        <v>182</v>
      </c>
      <c r="C456" s="1149" t="s">
        <v>269</v>
      </c>
      <c r="D456" s="1149" t="s">
        <v>99</v>
      </c>
      <c r="E456" s="1150" t="s">
        <v>277</v>
      </c>
      <c r="F456" s="1149" t="s">
        <v>1238</v>
      </c>
      <c r="G456" s="1149" t="s">
        <v>187</v>
      </c>
    </row>
    <row r="457" spans="1:7" outlineLevel="1">
      <c r="A457" s="1149" t="s">
        <v>555</v>
      </c>
      <c r="B457" s="1149" t="s">
        <v>179</v>
      </c>
      <c r="C457" s="1149" t="s">
        <v>268</v>
      </c>
      <c r="D457" s="1149" t="s">
        <v>99</v>
      </c>
      <c r="E457" s="1150" t="s">
        <v>276</v>
      </c>
      <c r="F457" s="1149" t="s">
        <v>149</v>
      </c>
      <c r="G457" s="1149" t="s">
        <v>187</v>
      </c>
    </row>
    <row r="458" spans="1:7" outlineLevel="1">
      <c r="A458" s="1149" t="s">
        <v>575</v>
      </c>
      <c r="B458" s="1149" t="s">
        <v>182</v>
      </c>
      <c r="C458" s="1149" t="s">
        <v>269</v>
      </c>
      <c r="D458" s="1149" t="s">
        <v>99</v>
      </c>
      <c r="E458" s="1150" t="s">
        <v>277</v>
      </c>
      <c r="F458" s="1149" t="s">
        <v>1238</v>
      </c>
      <c r="G458" s="1149" t="s">
        <v>187</v>
      </c>
    </row>
    <row r="459" spans="1:7" outlineLevel="1">
      <c r="A459" s="1149" t="s">
        <v>1234</v>
      </c>
      <c r="B459" s="1149" t="s">
        <v>182</v>
      </c>
      <c r="C459" s="1149" t="s">
        <v>269</v>
      </c>
      <c r="D459" s="1149" t="s">
        <v>99</v>
      </c>
      <c r="E459" s="1150" t="s">
        <v>277</v>
      </c>
      <c r="F459" s="1149" t="s">
        <v>1238</v>
      </c>
      <c r="G459" s="1149" t="s">
        <v>187</v>
      </c>
    </row>
    <row r="460" spans="1:7" outlineLevel="1">
      <c r="A460" s="1149" t="s">
        <v>373</v>
      </c>
      <c r="B460" s="1149" t="s">
        <v>126</v>
      </c>
      <c r="C460" s="1149" t="s">
        <v>270</v>
      </c>
      <c r="D460" s="1149" t="s">
        <v>273</v>
      </c>
      <c r="E460" s="1150" t="s">
        <v>277</v>
      </c>
      <c r="F460" s="1149" t="s">
        <v>1238</v>
      </c>
      <c r="G460" s="1149" t="s">
        <v>173</v>
      </c>
    </row>
    <row r="461" spans="1:7" outlineLevel="1">
      <c r="A461" s="1149" t="s">
        <v>452</v>
      </c>
      <c r="B461" s="1149" t="s">
        <v>154</v>
      </c>
      <c r="C461" s="1149" t="s">
        <v>445</v>
      </c>
      <c r="D461" s="1149" t="s">
        <v>273</v>
      </c>
      <c r="E461" s="1150" t="s">
        <v>276</v>
      </c>
      <c r="F461" s="1149" t="s">
        <v>149</v>
      </c>
      <c r="G461" s="1149" t="s">
        <v>173</v>
      </c>
    </row>
    <row r="462" spans="1:7" outlineLevel="1">
      <c r="A462" s="1149" t="s">
        <v>392</v>
      </c>
      <c r="B462" s="1149" t="s">
        <v>134</v>
      </c>
      <c r="C462" s="1149" t="s">
        <v>135</v>
      </c>
      <c r="D462" s="1149" t="s">
        <v>99</v>
      </c>
      <c r="E462" s="1150" t="s">
        <v>275</v>
      </c>
      <c r="F462" s="1151" t="s">
        <v>141</v>
      </c>
      <c r="G462" s="1149" t="s">
        <v>187</v>
      </c>
    </row>
    <row r="463" spans="1:7" outlineLevel="1">
      <c r="A463" s="1149" t="s">
        <v>566</v>
      </c>
      <c r="B463" s="1149" t="s">
        <v>182</v>
      </c>
      <c r="C463" s="1149" t="s">
        <v>269</v>
      </c>
      <c r="D463" s="1149" t="s">
        <v>99</v>
      </c>
      <c r="E463" s="1150" t="s">
        <v>277</v>
      </c>
      <c r="F463" s="1149" t="s">
        <v>1238</v>
      </c>
      <c r="G463" s="1149" t="s">
        <v>187</v>
      </c>
    </row>
    <row r="464" spans="1:7" outlineLevel="1">
      <c r="A464" s="1149" t="s">
        <v>563</v>
      </c>
      <c r="B464" s="1149" t="s">
        <v>180</v>
      </c>
      <c r="C464" s="1149" t="s">
        <v>181</v>
      </c>
      <c r="D464" s="1149" t="s">
        <v>273</v>
      </c>
      <c r="E464" s="1150" t="s">
        <v>732</v>
      </c>
      <c r="F464" s="1149" t="s">
        <v>147</v>
      </c>
      <c r="G464" s="1149" t="s">
        <v>173</v>
      </c>
    </row>
    <row r="465" spans="1:7" outlineLevel="1">
      <c r="A465" s="1149" t="s">
        <v>681</v>
      </c>
      <c r="B465" s="1149" t="s">
        <v>206</v>
      </c>
      <c r="C465" s="1149" t="s">
        <v>207</v>
      </c>
      <c r="D465" s="1149" t="s">
        <v>99</v>
      </c>
      <c r="E465" s="1150" t="s">
        <v>237</v>
      </c>
      <c r="F465" s="1149" t="s">
        <v>131</v>
      </c>
      <c r="G465" s="1149" t="s">
        <v>187</v>
      </c>
    </row>
    <row r="466" spans="1:7" outlineLevel="1">
      <c r="A466" s="1149" t="s">
        <v>196</v>
      </c>
      <c r="B466" s="1149" t="s">
        <v>195</v>
      </c>
      <c r="C466" s="1149" t="s">
        <v>196</v>
      </c>
      <c r="D466" s="1149" t="s">
        <v>99</v>
      </c>
      <c r="E466" s="1150" t="s">
        <v>237</v>
      </c>
      <c r="F466" s="1149" t="s">
        <v>131</v>
      </c>
      <c r="G466" s="1149" t="s">
        <v>187</v>
      </c>
    </row>
    <row r="467" spans="1:7" outlineLevel="1">
      <c r="A467" s="1149" t="s">
        <v>519</v>
      </c>
      <c r="B467" s="1149" t="s">
        <v>171</v>
      </c>
      <c r="C467" s="1149" t="s">
        <v>172</v>
      </c>
      <c r="D467" s="1149" t="s">
        <v>273</v>
      </c>
      <c r="E467" s="1150" t="s">
        <v>732</v>
      </c>
      <c r="F467" s="1149" t="s">
        <v>147</v>
      </c>
      <c r="G467" s="1149" t="s">
        <v>173</v>
      </c>
    </row>
    <row r="468" spans="1:7" outlineLevel="1">
      <c r="A468" s="1149" t="s">
        <v>453</v>
      </c>
      <c r="B468" s="1149" t="s">
        <v>154</v>
      </c>
      <c r="C468" s="1149" t="s">
        <v>445</v>
      </c>
      <c r="D468" s="1149" t="s">
        <v>273</v>
      </c>
      <c r="E468" s="1150" t="s">
        <v>275</v>
      </c>
      <c r="F468" s="1149" t="s">
        <v>147</v>
      </c>
      <c r="G468" s="1149" t="s">
        <v>173</v>
      </c>
    </row>
    <row r="469" spans="1:7" outlineLevel="1">
      <c r="A469" s="1149" t="s">
        <v>393</v>
      </c>
      <c r="B469" s="1149" t="s">
        <v>134</v>
      </c>
      <c r="C469" s="1149" t="s">
        <v>135</v>
      </c>
      <c r="D469" s="1149" t="s">
        <v>99</v>
      </c>
      <c r="E469" s="1150" t="s">
        <v>275</v>
      </c>
      <c r="F469" s="1151" t="s">
        <v>141</v>
      </c>
      <c r="G469" s="1149" t="s">
        <v>187</v>
      </c>
    </row>
    <row r="470" spans="1:7" outlineLevel="1">
      <c r="A470" s="1149" t="s">
        <v>198</v>
      </c>
      <c r="B470" s="1149" t="s">
        <v>197</v>
      </c>
      <c r="C470" s="1149" t="s">
        <v>198</v>
      </c>
      <c r="D470" s="1149" t="s">
        <v>273</v>
      </c>
      <c r="E470" s="1150" t="s">
        <v>275</v>
      </c>
      <c r="F470" s="1149" t="s">
        <v>147</v>
      </c>
      <c r="G470" s="1149" t="s">
        <v>173</v>
      </c>
    </row>
    <row r="471" spans="1:7" outlineLevel="1">
      <c r="A471" s="1149" t="s">
        <v>462</v>
      </c>
      <c r="B471" s="1149" t="s">
        <v>156</v>
      </c>
      <c r="C471" s="1149" t="s">
        <v>157</v>
      </c>
      <c r="D471" s="1149" t="s">
        <v>99</v>
      </c>
      <c r="E471" s="1150" t="s">
        <v>733</v>
      </c>
      <c r="F471" s="1149" t="s">
        <v>141</v>
      </c>
      <c r="G471" s="1149" t="s">
        <v>187</v>
      </c>
    </row>
    <row r="472" spans="1:7" outlineLevel="1">
      <c r="A472" s="1149" t="s">
        <v>394</v>
      </c>
      <c r="B472" s="1149" t="s">
        <v>134</v>
      </c>
      <c r="C472" s="1149" t="s">
        <v>135</v>
      </c>
      <c r="D472" s="1149" t="s">
        <v>99</v>
      </c>
      <c r="E472" s="1150" t="s">
        <v>275</v>
      </c>
      <c r="F472" s="1151" t="s">
        <v>141</v>
      </c>
      <c r="G472" s="1149" t="s">
        <v>187</v>
      </c>
    </row>
    <row r="473" spans="1:7" outlineLevel="1">
      <c r="A473" s="1149" t="s">
        <v>627</v>
      </c>
      <c r="B473" s="1149" t="s">
        <v>199</v>
      </c>
      <c r="C473" s="1149" t="s">
        <v>617</v>
      </c>
      <c r="D473" s="1149" t="s">
        <v>273</v>
      </c>
      <c r="E473" s="1150" t="s">
        <v>275</v>
      </c>
      <c r="F473" s="1149" t="s">
        <v>147</v>
      </c>
      <c r="G473" s="1149" t="s">
        <v>173</v>
      </c>
    </row>
    <row r="474" spans="1:7" outlineLevel="1">
      <c r="A474" s="1149" t="s">
        <v>728</v>
      </c>
      <c r="B474" s="1149" t="s">
        <v>214</v>
      </c>
      <c r="C474" s="1149" t="s">
        <v>215</v>
      </c>
      <c r="D474" s="1149" t="s">
        <v>273</v>
      </c>
      <c r="E474" s="1150" t="s">
        <v>732</v>
      </c>
      <c r="F474" s="1149" t="s">
        <v>147</v>
      </c>
      <c r="G474" s="1149" t="s">
        <v>173</v>
      </c>
    </row>
    <row r="475" spans="1:7" outlineLevel="1">
      <c r="A475" s="1149" t="s">
        <v>682</v>
      </c>
      <c r="B475" s="1149" t="s">
        <v>206</v>
      </c>
      <c r="C475" s="1149" t="s">
        <v>207</v>
      </c>
      <c r="D475" s="1149" t="s">
        <v>99</v>
      </c>
      <c r="E475" s="1150" t="s">
        <v>237</v>
      </c>
      <c r="F475" s="1149" t="s">
        <v>131</v>
      </c>
      <c r="G475" s="1149" t="s">
        <v>187</v>
      </c>
    </row>
    <row r="476" spans="1:7" outlineLevel="1">
      <c r="A476" s="1149" t="s">
        <v>463</v>
      </c>
      <c r="B476" s="1149" t="s">
        <v>156</v>
      </c>
      <c r="C476" s="1149" t="s">
        <v>157</v>
      </c>
      <c r="D476" s="1149" t="s">
        <v>99</v>
      </c>
      <c r="E476" s="1150" t="s">
        <v>733</v>
      </c>
      <c r="F476" s="1149" t="s">
        <v>141</v>
      </c>
      <c r="G476" s="1149" t="s">
        <v>187</v>
      </c>
    </row>
    <row r="477" spans="1:7" outlineLevel="1">
      <c r="A477" s="1149" t="s">
        <v>464</v>
      </c>
      <c r="B477" s="1149" t="s">
        <v>156</v>
      </c>
      <c r="C477" s="1149" t="s">
        <v>157</v>
      </c>
      <c r="D477" s="1149" t="s">
        <v>99</v>
      </c>
      <c r="E477" s="1150" t="s">
        <v>733</v>
      </c>
      <c r="F477" s="1149" t="s">
        <v>141</v>
      </c>
      <c r="G477" s="1149" t="s">
        <v>187</v>
      </c>
    </row>
    <row r="478" spans="1:7" outlineLevel="1">
      <c r="A478" s="1149" t="s">
        <v>485</v>
      </c>
      <c r="B478" s="1149" t="s">
        <v>164</v>
      </c>
      <c r="C478" s="1149" t="s">
        <v>165</v>
      </c>
      <c r="D478" s="1149" t="s">
        <v>99</v>
      </c>
      <c r="E478" s="1150" t="s">
        <v>733</v>
      </c>
      <c r="F478" s="1149" t="s">
        <v>141</v>
      </c>
      <c r="G478" s="1149" t="s">
        <v>187</v>
      </c>
    </row>
    <row r="479" spans="1:7" outlineLevel="1">
      <c r="A479" s="1149" t="s">
        <v>361</v>
      </c>
      <c r="B479" s="1149" t="s">
        <v>124</v>
      </c>
      <c r="C479" s="1149" t="s">
        <v>125</v>
      </c>
      <c r="D479" s="1149" t="s">
        <v>273</v>
      </c>
      <c r="E479" s="1150" t="s">
        <v>732</v>
      </c>
      <c r="F479" s="1149" t="s">
        <v>147</v>
      </c>
      <c r="G479" s="1149" t="s">
        <v>173</v>
      </c>
    </row>
    <row r="480" spans="1:7" outlineLevel="1">
      <c r="A480" s="1149" t="s">
        <v>584</v>
      </c>
      <c r="B480" s="1149" t="s">
        <v>188</v>
      </c>
      <c r="C480" s="1149" t="s">
        <v>579</v>
      </c>
      <c r="D480" s="1149" t="s">
        <v>273</v>
      </c>
      <c r="E480" s="1150" t="s">
        <v>275</v>
      </c>
      <c r="F480" s="1149" t="s">
        <v>147</v>
      </c>
      <c r="G480" s="1149" t="s">
        <v>173</v>
      </c>
    </row>
    <row r="481" spans="1:7" outlineLevel="1">
      <c r="A481" s="1149" t="s">
        <v>411</v>
      </c>
      <c r="B481" s="1149" t="s">
        <v>138</v>
      </c>
      <c r="C481" s="1149" t="s">
        <v>139</v>
      </c>
      <c r="D481" s="1149" t="s">
        <v>99</v>
      </c>
      <c r="E481" s="1150" t="s">
        <v>275</v>
      </c>
      <c r="F481" s="1149" t="s">
        <v>141</v>
      </c>
      <c r="G481" s="1149" t="s">
        <v>187</v>
      </c>
    </row>
    <row r="482" spans="1:7" outlineLevel="1">
      <c r="A482" s="1149" t="s">
        <v>379</v>
      </c>
      <c r="B482" s="1149" t="s">
        <v>127</v>
      </c>
      <c r="C482" s="1149" t="s">
        <v>271</v>
      </c>
      <c r="D482" s="1149" t="s">
        <v>273</v>
      </c>
      <c r="E482" s="1150" t="s">
        <v>732</v>
      </c>
      <c r="F482" s="1149" t="s">
        <v>147</v>
      </c>
      <c r="G482" s="1149" t="s">
        <v>173</v>
      </c>
    </row>
    <row r="483" spans="1:7" outlineLevel="1">
      <c r="A483" s="1149" t="s">
        <v>628</v>
      </c>
      <c r="B483" s="1149" t="s">
        <v>199</v>
      </c>
      <c r="C483" s="1149" t="s">
        <v>617</v>
      </c>
      <c r="D483" s="1149" t="s">
        <v>273</v>
      </c>
      <c r="E483" s="1150" t="s">
        <v>275</v>
      </c>
      <c r="F483" s="1149" t="s">
        <v>147</v>
      </c>
      <c r="G483" s="1149" t="s">
        <v>173</v>
      </c>
    </row>
    <row r="484" spans="1:7" outlineLevel="1">
      <c r="A484" s="1149" t="s">
        <v>657</v>
      </c>
      <c r="B484" s="1149" t="s">
        <v>202</v>
      </c>
      <c r="C484" s="1149" t="s">
        <v>203</v>
      </c>
      <c r="D484" s="1149" t="s">
        <v>99</v>
      </c>
      <c r="E484" s="1150" t="s">
        <v>277</v>
      </c>
      <c r="F484" s="1149" t="s">
        <v>1238</v>
      </c>
      <c r="G484" s="1149" t="s">
        <v>187</v>
      </c>
    </row>
    <row r="485" spans="1:7" outlineLevel="1">
      <c r="A485" s="1149" t="s">
        <v>658</v>
      </c>
      <c r="B485" s="1149" t="s">
        <v>202</v>
      </c>
      <c r="C485" s="1149" t="s">
        <v>203</v>
      </c>
      <c r="D485" s="1149" t="s">
        <v>99</v>
      </c>
      <c r="E485" s="1150" t="s">
        <v>277</v>
      </c>
      <c r="F485" s="1149" t="s">
        <v>1238</v>
      </c>
      <c r="G485" s="1149" t="s">
        <v>187</v>
      </c>
    </row>
    <row r="486" spans="1:7" outlineLevel="1">
      <c r="A486" s="1149" t="s">
        <v>683</v>
      </c>
      <c r="B486" s="1149" t="s">
        <v>206</v>
      </c>
      <c r="C486" s="1149" t="s">
        <v>207</v>
      </c>
      <c r="D486" s="1149" t="s">
        <v>99</v>
      </c>
      <c r="E486" s="1150" t="s">
        <v>237</v>
      </c>
      <c r="F486" s="1149" t="s">
        <v>131</v>
      </c>
      <c r="G486" s="1149" t="s">
        <v>187</v>
      </c>
    </row>
    <row r="487" spans="1:7" outlineLevel="1">
      <c r="A487" s="1149" t="s">
        <v>603</v>
      </c>
      <c r="B487" s="1149" t="s">
        <v>193</v>
      </c>
      <c r="C487" s="1149" t="s">
        <v>194</v>
      </c>
      <c r="D487" s="1149" t="s">
        <v>99</v>
      </c>
      <c r="E487" s="1150" t="s">
        <v>733</v>
      </c>
      <c r="F487" s="1149" t="s">
        <v>141</v>
      </c>
      <c r="G487" s="1149" t="s">
        <v>187</v>
      </c>
    </row>
    <row r="488" spans="1:7" outlineLevel="1">
      <c r="A488" s="1149" t="s">
        <v>629</v>
      </c>
      <c r="B488" s="1149" t="s">
        <v>199</v>
      </c>
      <c r="C488" s="1149" t="s">
        <v>617</v>
      </c>
      <c r="D488" s="1149" t="s">
        <v>273</v>
      </c>
      <c r="E488" s="1150" t="s">
        <v>275</v>
      </c>
      <c r="F488" s="1149" t="s">
        <v>147</v>
      </c>
      <c r="G488" s="1149" t="s">
        <v>173</v>
      </c>
    </row>
    <row r="489" spans="1:7" outlineLevel="1">
      <c r="A489" s="1149" t="s">
        <v>714</v>
      </c>
      <c r="B489" s="1149" t="s">
        <v>212</v>
      </c>
      <c r="C489" s="1149" t="s">
        <v>213</v>
      </c>
      <c r="D489" s="1149" t="s">
        <v>99</v>
      </c>
      <c r="E489" s="1150" t="s">
        <v>237</v>
      </c>
      <c r="F489" s="1149" t="s">
        <v>131</v>
      </c>
      <c r="G489" s="1149" t="s">
        <v>187</v>
      </c>
    </row>
    <row r="490" spans="1:7" outlineLevel="1">
      <c r="A490" s="1149" t="s">
        <v>556</v>
      </c>
      <c r="B490" s="1149" t="s">
        <v>179</v>
      </c>
      <c r="C490" s="1149" t="s">
        <v>268</v>
      </c>
      <c r="D490" s="1149" t="s">
        <v>99</v>
      </c>
      <c r="E490" s="1150" t="s">
        <v>276</v>
      </c>
      <c r="F490" s="1149" t="s">
        <v>149</v>
      </c>
      <c r="G490" s="1149" t="s">
        <v>187</v>
      </c>
    </row>
    <row r="491" spans="1:7" outlineLevel="1">
      <c r="A491" s="1149" t="s">
        <v>729</v>
      </c>
      <c r="B491" s="1149" t="s">
        <v>214</v>
      </c>
      <c r="C491" s="1149" t="s">
        <v>215</v>
      </c>
      <c r="D491" s="1149" t="s">
        <v>273</v>
      </c>
      <c r="E491" s="1150" t="s">
        <v>732</v>
      </c>
      <c r="F491" s="1149" t="s">
        <v>147</v>
      </c>
      <c r="G491" s="1149" t="s">
        <v>173</v>
      </c>
    </row>
    <row r="492" spans="1:7" outlineLevel="1">
      <c r="A492" s="1149" t="s">
        <v>538</v>
      </c>
      <c r="B492" s="1149" t="s">
        <v>176</v>
      </c>
      <c r="C492" s="1149" t="s">
        <v>272</v>
      </c>
      <c r="D492" s="1149" t="s">
        <v>99</v>
      </c>
      <c r="E492" s="1150" t="s">
        <v>277</v>
      </c>
      <c r="F492" s="1149" t="s">
        <v>1238</v>
      </c>
      <c r="G492" s="1149" t="s">
        <v>187</v>
      </c>
    </row>
    <row r="493" spans="1:7" outlineLevel="1">
      <c r="A493" s="1149" t="s">
        <v>539</v>
      </c>
      <c r="B493" s="1149" t="s">
        <v>176</v>
      </c>
      <c r="C493" s="1149" t="s">
        <v>272</v>
      </c>
      <c r="D493" s="1149" t="s">
        <v>99</v>
      </c>
      <c r="E493" s="1150" t="s">
        <v>277</v>
      </c>
      <c r="F493" s="1149" t="s">
        <v>1238</v>
      </c>
      <c r="G493" s="1149" t="s">
        <v>187</v>
      </c>
    </row>
    <row r="494" spans="1:7" outlineLevel="1">
      <c r="A494" s="1149" t="s">
        <v>441</v>
      </c>
      <c r="B494" s="1149" t="s">
        <v>150</v>
      </c>
      <c r="C494" s="1149" t="s">
        <v>151</v>
      </c>
      <c r="D494" s="1149" t="s">
        <v>273</v>
      </c>
      <c r="E494" s="1150" t="s">
        <v>277</v>
      </c>
      <c r="F494" s="1149" t="s">
        <v>1238</v>
      </c>
      <c r="G494" s="1149" t="s">
        <v>173</v>
      </c>
    </row>
    <row r="495" spans="1:7" outlineLevel="1">
      <c r="A495" s="1149" t="s">
        <v>465</v>
      </c>
      <c r="B495" s="1149" t="s">
        <v>156</v>
      </c>
      <c r="C495" s="1149" t="s">
        <v>157</v>
      </c>
      <c r="D495" s="1149" t="s">
        <v>99</v>
      </c>
      <c r="E495" s="1150" t="s">
        <v>733</v>
      </c>
      <c r="F495" s="1149" t="s">
        <v>141</v>
      </c>
      <c r="G495" s="1149" t="s">
        <v>187</v>
      </c>
    </row>
    <row r="496" spans="1:7" outlineLevel="1">
      <c r="A496" s="1149" t="s">
        <v>508</v>
      </c>
      <c r="B496" s="1149" t="s">
        <v>168</v>
      </c>
      <c r="C496" s="1149" t="s">
        <v>168</v>
      </c>
      <c r="D496" s="1149" t="s">
        <v>99</v>
      </c>
      <c r="E496" s="1150" t="s">
        <v>733</v>
      </c>
      <c r="F496" s="1149" t="s">
        <v>141</v>
      </c>
      <c r="G496" s="1149" t="s">
        <v>187</v>
      </c>
    </row>
    <row r="497" spans="1:7" outlineLevel="1">
      <c r="A497" s="1149" t="s">
        <v>395</v>
      </c>
      <c r="B497" s="1149" t="s">
        <v>134</v>
      </c>
      <c r="C497" s="1149" t="s">
        <v>135</v>
      </c>
      <c r="D497" s="1149" t="s">
        <v>99</v>
      </c>
      <c r="E497" s="1150" t="s">
        <v>275</v>
      </c>
      <c r="F497" s="1151" t="s">
        <v>141</v>
      </c>
      <c r="G497" s="1149" t="s">
        <v>187</v>
      </c>
    </row>
    <row r="498" spans="1:7" outlineLevel="1">
      <c r="A498" s="1149" t="s">
        <v>702</v>
      </c>
      <c r="B498" s="1149" t="s">
        <v>210</v>
      </c>
      <c r="C498" s="1149" t="s">
        <v>211</v>
      </c>
      <c r="D498" s="1149" t="s">
        <v>273</v>
      </c>
      <c r="E498" s="1150" t="s">
        <v>276</v>
      </c>
      <c r="F498" s="1149" t="s">
        <v>149</v>
      </c>
      <c r="G498" s="1149" t="s">
        <v>173</v>
      </c>
    </row>
    <row r="499" spans="1:7" outlineLevel="1">
      <c r="A499" s="1149" t="s">
        <v>427</v>
      </c>
      <c r="B499" s="1149" t="s">
        <v>148</v>
      </c>
      <c r="C499" s="1149" t="s">
        <v>428</v>
      </c>
      <c r="D499" s="1149" t="s">
        <v>99</v>
      </c>
      <c r="E499" s="1150" t="s">
        <v>276</v>
      </c>
      <c r="F499" s="1149" t="s">
        <v>149</v>
      </c>
      <c r="G499" s="1149" t="s">
        <v>187</v>
      </c>
    </row>
    <row r="500" spans="1:7" outlineLevel="1">
      <c r="A500" s="1149" t="s">
        <v>693</v>
      </c>
      <c r="B500" s="1149" t="s">
        <v>208</v>
      </c>
      <c r="C500" s="1149" t="s">
        <v>209</v>
      </c>
      <c r="D500" s="1149" t="s">
        <v>99</v>
      </c>
      <c r="E500" s="1150" t="s">
        <v>276</v>
      </c>
      <c r="F500" s="1149" t="s">
        <v>149</v>
      </c>
      <c r="G500" s="1149" t="s">
        <v>187</v>
      </c>
    </row>
    <row r="501" spans="1:7" outlineLevel="1">
      <c r="A501" s="1149" t="s">
        <v>475</v>
      </c>
      <c r="B501" s="1149" t="s">
        <v>162</v>
      </c>
      <c r="C501" s="1149" t="s">
        <v>163</v>
      </c>
      <c r="D501" s="1149" t="s">
        <v>273</v>
      </c>
      <c r="E501" s="1150" t="s">
        <v>275</v>
      </c>
      <c r="F501" s="1149" t="s">
        <v>147</v>
      </c>
      <c r="G501" s="1149" t="s">
        <v>173</v>
      </c>
    </row>
    <row r="502" spans="1:7" outlineLevel="1">
      <c r="A502" s="1149" t="s">
        <v>694</v>
      </c>
      <c r="B502" s="1149" t="s">
        <v>208</v>
      </c>
      <c r="C502" s="1149" t="s">
        <v>209</v>
      </c>
      <c r="D502" s="1149" t="s">
        <v>99</v>
      </c>
      <c r="E502" s="1150" t="s">
        <v>276</v>
      </c>
      <c r="F502" s="1149" t="s">
        <v>149</v>
      </c>
      <c r="G502" s="1149" t="s">
        <v>187</v>
      </c>
    </row>
    <row r="503" spans="1:7" outlineLevel="1">
      <c r="A503" s="1149" t="s">
        <v>412</v>
      </c>
      <c r="B503" s="1149" t="s">
        <v>138</v>
      </c>
      <c r="C503" s="1149" t="s">
        <v>139</v>
      </c>
      <c r="D503" s="1149" t="s">
        <v>99</v>
      </c>
      <c r="E503" s="1150" t="s">
        <v>275</v>
      </c>
      <c r="F503" s="1149" t="s">
        <v>141</v>
      </c>
      <c r="G503" s="1149" t="s">
        <v>187</v>
      </c>
    </row>
    <row r="504" spans="1:7" outlineLevel="1">
      <c r="A504" s="1149" t="s">
        <v>715</v>
      </c>
      <c r="B504" s="1149" t="s">
        <v>212</v>
      </c>
      <c r="C504" s="1149" t="s">
        <v>213</v>
      </c>
      <c r="D504" s="1149" t="s">
        <v>99</v>
      </c>
      <c r="E504" s="1150" t="s">
        <v>237</v>
      </c>
      <c r="F504" s="1149" t="s">
        <v>131</v>
      </c>
      <c r="G504" s="1149" t="s">
        <v>187</v>
      </c>
    </row>
    <row r="505" spans="1:7" outlineLevel="1">
      <c r="A505" s="1149" t="s">
        <v>716</v>
      </c>
      <c r="B505" s="1149" t="s">
        <v>212</v>
      </c>
      <c r="C505" s="1149" t="s">
        <v>213</v>
      </c>
      <c r="D505" s="1149" t="s">
        <v>99</v>
      </c>
      <c r="E505" s="1150" t="s">
        <v>237</v>
      </c>
      <c r="F505" s="1149" t="s">
        <v>131</v>
      </c>
      <c r="G505" s="1149" t="s">
        <v>187</v>
      </c>
    </row>
    <row r="506" spans="1:7" outlineLevel="1">
      <c r="A506" s="1149" t="s">
        <v>617</v>
      </c>
      <c r="B506" s="1149" t="s">
        <v>199</v>
      </c>
      <c r="C506" s="1149" t="s">
        <v>617</v>
      </c>
      <c r="D506" s="1149" t="s">
        <v>273</v>
      </c>
      <c r="E506" s="1150" t="s">
        <v>275</v>
      </c>
      <c r="F506" s="1149" t="s">
        <v>147</v>
      </c>
      <c r="G506" s="1149" t="s">
        <v>173</v>
      </c>
    </row>
    <row r="507" spans="1:7" outlineLevel="1">
      <c r="A507" s="1149" t="s">
        <v>201</v>
      </c>
      <c r="B507" s="1149" t="s">
        <v>200</v>
      </c>
      <c r="C507" s="1149" t="s">
        <v>201</v>
      </c>
      <c r="D507" s="1149" t="s">
        <v>99</v>
      </c>
      <c r="E507" s="1150" t="s">
        <v>275</v>
      </c>
      <c r="F507" s="1149" t="s">
        <v>141</v>
      </c>
      <c r="G507" s="1149" t="s">
        <v>187</v>
      </c>
    </row>
    <row r="508" spans="1:7" outlineLevel="1">
      <c r="A508" s="1149" t="s">
        <v>362</v>
      </c>
      <c r="B508" s="1149" t="s">
        <v>124</v>
      </c>
      <c r="C508" s="1149" t="s">
        <v>125</v>
      </c>
      <c r="D508" s="1149" t="s">
        <v>273</v>
      </c>
      <c r="E508" s="1150" t="s">
        <v>732</v>
      </c>
      <c r="F508" s="1149" t="s">
        <v>147</v>
      </c>
      <c r="G508" s="1149" t="s">
        <v>173</v>
      </c>
    </row>
    <row r="509" spans="1:7" outlineLevel="1">
      <c r="A509" s="1149" t="s">
        <v>203</v>
      </c>
      <c r="B509" s="1149" t="s">
        <v>202</v>
      </c>
      <c r="C509" s="1149" t="s">
        <v>203</v>
      </c>
      <c r="D509" s="1149" t="s">
        <v>99</v>
      </c>
      <c r="E509" s="1150" t="s">
        <v>277</v>
      </c>
      <c r="F509" s="1149" t="s">
        <v>1238</v>
      </c>
      <c r="G509" s="1149" t="s">
        <v>187</v>
      </c>
    </row>
    <row r="510" spans="1:7" outlineLevel="1">
      <c r="A510" s="1149" t="s">
        <v>205</v>
      </c>
      <c r="B510" s="1149" t="s">
        <v>204</v>
      </c>
      <c r="C510" s="1149" t="s">
        <v>205</v>
      </c>
      <c r="D510" s="1149" t="s">
        <v>273</v>
      </c>
      <c r="E510" s="1150" t="s">
        <v>276</v>
      </c>
      <c r="F510" s="1149" t="s">
        <v>149</v>
      </c>
      <c r="G510" s="1149" t="s">
        <v>173</v>
      </c>
    </row>
    <row r="511" spans="1:7" outlineLevel="1">
      <c r="A511" s="1149" t="s">
        <v>730</v>
      </c>
      <c r="B511" s="1149" t="s">
        <v>214</v>
      </c>
      <c r="C511" s="1149" t="s">
        <v>215</v>
      </c>
      <c r="D511" s="1149" t="s">
        <v>273</v>
      </c>
      <c r="E511" s="1150" t="s">
        <v>732</v>
      </c>
      <c r="F511" s="1149" t="s">
        <v>147</v>
      </c>
      <c r="G511" s="1149" t="s">
        <v>173</v>
      </c>
    </row>
    <row r="512" spans="1:7" outlineLevel="1">
      <c r="A512" s="1149" t="s">
        <v>486</v>
      </c>
      <c r="B512" s="1149" t="s">
        <v>164</v>
      </c>
      <c r="C512" s="1149" t="s">
        <v>165</v>
      </c>
      <c r="D512" s="1149" t="s">
        <v>99</v>
      </c>
      <c r="E512" s="1150" t="s">
        <v>733</v>
      </c>
      <c r="F512" s="1149" t="s">
        <v>141</v>
      </c>
      <c r="G512" s="1149" t="s">
        <v>187</v>
      </c>
    </row>
    <row r="513" spans="1:7" outlineLevel="1">
      <c r="A513" s="1149" t="s">
        <v>487</v>
      </c>
      <c r="B513" s="1149" t="s">
        <v>164</v>
      </c>
      <c r="C513" s="1149" t="s">
        <v>165</v>
      </c>
      <c r="D513" s="1149" t="s">
        <v>99</v>
      </c>
      <c r="E513" s="1150" t="s">
        <v>733</v>
      </c>
      <c r="F513" s="1149" t="s">
        <v>141</v>
      </c>
      <c r="G513" s="1149" t="s">
        <v>187</v>
      </c>
    </row>
    <row r="514" spans="1:7" outlineLevel="1">
      <c r="A514" s="1149" t="s">
        <v>396</v>
      </c>
      <c r="B514" s="1149" t="s">
        <v>134</v>
      </c>
      <c r="C514" s="1149" t="s">
        <v>135</v>
      </c>
      <c r="D514" s="1149" t="s">
        <v>99</v>
      </c>
      <c r="E514" s="1150" t="s">
        <v>275</v>
      </c>
      <c r="F514" s="1151" t="s">
        <v>141</v>
      </c>
      <c r="G514" s="1149" t="s">
        <v>187</v>
      </c>
    </row>
    <row r="515" spans="1:7" outlineLevel="1">
      <c r="A515" s="1149" t="s">
        <v>207</v>
      </c>
      <c r="B515" s="1149" t="s">
        <v>206</v>
      </c>
      <c r="C515" s="1149" t="s">
        <v>207</v>
      </c>
      <c r="D515" s="1149" t="s">
        <v>99</v>
      </c>
      <c r="E515" s="1150" t="s">
        <v>237</v>
      </c>
      <c r="F515" s="1149" t="s">
        <v>131</v>
      </c>
      <c r="G515" s="1149" t="s">
        <v>187</v>
      </c>
    </row>
    <row r="516" spans="1:7" outlineLevel="1">
      <c r="A516" s="1149" t="s">
        <v>466</v>
      </c>
      <c r="B516" s="1149" t="s">
        <v>156</v>
      </c>
      <c r="C516" s="1149" t="s">
        <v>157</v>
      </c>
      <c r="D516" s="1149" t="s">
        <v>99</v>
      </c>
      <c r="E516" s="1150" t="s">
        <v>733</v>
      </c>
      <c r="F516" s="1149" t="s">
        <v>141</v>
      </c>
      <c r="G516" s="1149" t="s">
        <v>187</v>
      </c>
    </row>
    <row r="517" spans="1:7" outlineLevel="1">
      <c r="A517" s="1149" t="s">
        <v>496</v>
      </c>
      <c r="B517" s="1149" t="s">
        <v>169</v>
      </c>
      <c r="C517" s="1149" t="s">
        <v>170</v>
      </c>
      <c r="D517" s="1149" t="s">
        <v>99</v>
      </c>
      <c r="E517" s="1150" t="s">
        <v>733</v>
      </c>
      <c r="F517" s="1149" t="s">
        <v>141</v>
      </c>
      <c r="G517" s="1149" t="s">
        <v>187</v>
      </c>
    </row>
    <row r="518" spans="1:7" outlineLevel="1">
      <c r="A518" s="1149" t="s">
        <v>576</v>
      </c>
      <c r="B518" s="1149" t="s">
        <v>182</v>
      </c>
      <c r="C518" s="1149" t="s">
        <v>269</v>
      </c>
      <c r="D518" s="1149" t="s">
        <v>99</v>
      </c>
      <c r="E518" s="1150" t="s">
        <v>277</v>
      </c>
      <c r="F518" s="1149" t="s">
        <v>1238</v>
      </c>
      <c r="G518" s="1149" t="s">
        <v>187</v>
      </c>
    </row>
    <row r="519" spans="1:7" outlineLevel="1">
      <c r="A519" s="1149" t="s">
        <v>1225</v>
      </c>
      <c r="B519" s="1149" t="s">
        <v>124</v>
      </c>
      <c r="C519" s="1149" t="s">
        <v>125</v>
      </c>
      <c r="D519" s="1149" t="s">
        <v>273</v>
      </c>
      <c r="E519" s="1150" t="s">
        <v>732</v>
      </c>
      <c r="F519" s="1149" t="s">
        <v>147</v>
      </c>
      <c r="G519" s="1149" t="s">
        <v>173</v>
      </c>
    </row>
    <row r="520" spans="1:7" outlineLevel="1">
      <c r="A520" s="1149" t="s">
        <v>520</v>
      </c>
      <c r="B520" s="1149" t="s">
        <v>171</v>
      </c>
      <c r="C520" s="1149" t="s">
        <v>172</v>
      </c>
      <c r="D520" s="1149" t="s">
        <v>273</v>
      </c>
      <c r="E520" s="1150" t="s">
        <v>732</v>
      </c>
      <c r="F520" s="1149" t="s">
        <v>147</v>
      </c>
      <c r="G520" s="1149" t="s">
        <v>173</v>
      </c>
    </row>
    <row r="521" spans="1:7" outlineLevel="1">
      <c r="A521" s="1149" t="s">
        <v>397</v>
      </c>
      <c r="B521" s="1149" t="s">
        <v>134</v>
      </c>
      <c r="C521" s="1149" t="s">
        <v>135</v>
      </c>
      <c r="D521" s="1149" t="s">
        <v>99</v>
      </c>
      <c r="E521" s="1150" t="s">
        <v>275</v>
      </c>
      <c r="F521" s="1151" t="s">
        <v>141</v>
      </c>
      <c r="G521" s="1149" t="s">
        <v>187</v>
      </c>
    </row>
    <row r="522" spans="1:7" outlineLevel="1">
      <c r="A522" s="1149" t="s">
        <v>509</v>
      </c>
      <c r="B522" s="1149" t="s">
        <v>168</v>
      </c>
      <c r="C522" s="1149" t="s">
        <v>168</v>
      </c>
      <c r="D522" s="1149" t="s">
        <v>99</v>
      </c>
      <c r="E522" s="1150" t="s">
        <v>733</v>
      </c>
      <c r="F522" s="1149" t="s">
        <v>141</v>
      </c>
      <c r="G522" s="1149" t="s">
        <v>187</v>
      </c>
    </row>
    <row r="523" spans="1:7" outlineLevel="1">
      <c r="A523" s="1149" t="s">
        <v>630</v>
      </c>
      <c r="B523" s="1149" t="s">
        <v>199</v>
      </c>
      <c r="C523" s="1149" t="s">
        <v>617</v>
      </c>
      <c r="D523" s="1149" t="s">
        <v>273</v>
      </c>
      <c r="E523" s="1150" t="s">
        <v>275</v>
      </c>
      <c r="F523" s="1149" t="s">
        <v>147</v>
      </c>
      <c r="G523" s="1149" t="s">
        <v>173</v>
      </c>
    </row>
    <row r="524" spans="1:7" outlineLevel="1">
      <c r="A524" s="1149" t="s">
        <v>684</v>
      </c>
      <c r="B524" s="1149" t="s">
        <v>206</v>
      </c>
      <c r="C524" s="1149" t="s">
        <v>207</v>
      </c>
      <c r="D524" s="1149" t="s">
        <v>99</v>
      </c>
      <c r="E524" s="1150" t="s">
        <v>237</v>
      </c>
      <c r="F524" s="1149" t="s">
        <v>131</v>
      </c>
      <c r="G524" s="1149" t="s">
        <v>187</v>
      </c>
    </row>
    <row r="525" spans="1:7" outlineLevel="1">
      <c r="A525" s="1149" t="s">
        <v>717</v>
      </c>
      <c r="B525" s="1149" t="s">
        <v>212</v>
      </c>
      <c r="C525" s="1149" t="s">
        <v>213</v>
      </c>
      <c r="D525" s="1149" t="s">
        <v>99</v>
      </c>
      <c r="E525" s="1150" t="s">
        <v>237</v>
      </c>
      <c r="F525" s="1149" t="s">
        <v>131</v>
      </c>
      <c r="G525" s="1149" t="s">
        <v>187</v>
      </c>
    </row>
    <row r="526" spans="1:7" outlineLevel="1">
      <c r="A526" s="1149" t="s">
        <v>425</v>
      </c>
      <c r="B526" s="1149" t="s">
        <v>144</v>
      </c>
      <c r="C526" s="1149" t="s">
        <v>145</v>
      </c>
      <c r="D526" s="1149" t="s">
        <v>273</v>
      </c>
      <c r="E526" s="1150" t="s">
        <v>275</v>
      </c>
      <c r="F526" s="1149" t="s">
        <v>147</v>
      </c>
      <c r="G526" s="1149" t="s">
        <v>173</v>
      </c>
    </row>
    <row r="527" spans="1:7" outlineLevel="1">
      <c r="A527" s="1149" t="s">
        <v>703</v>
      </c>
      <c r="B527" s="1149" t="s">
        <v>210</v>
      </c>
      <c r="C527" s="1149" t="s">
        <v>211</v>
      </c>
      <c r="D527" s="1149" t="s">
        <v>273</v>
      </c>
      <c r="E527" s="1150" t="s">
        <v>276</v>
      </c>
      <c r="F527" s="1149" t="s">
        <v>149</v>
      </c>
      <c r="G527" s="1149" t="s">
        <v>173</v>
      </c>
    </row>
    <row r="528" spans="1:7" outlineLevel="1">
      <c r="A528" s="1149" t="s">
        <v>631</v>
      </c>
      <c r="B528" s="1149" t="s">
        <v>199</v>
      </c>
      <c r="C528" s="1149" t="s">
        <v>617</v>
      </c>
      <c r="D528" s="1149" t="s">
        <v>273</v>
      </c>
      <c r="E528" s="1150" t="s">
        <v>275</v>
      </c>
      <c r="F528" s="1149" t="s">
        <v>147</v>
      </c>
      <c r="G528" s="1149" t="s">
        <v>173</v>
      </c>
    </row>
    <row r="529" spans="1:7" outlineLevel="1">
      <c r="A529" s="1149" t="s">
        <v>476</v>
      </c>
      <c r="B529" s="1149" t="s">
        <v>162</v>
      </c>
      <c r="C529" s="1149" t="s">
        <v>163</v>
      </c>
      <c r="D529" s="1149" t="s">
        <v>273</v>
      </c>
      <c r="E529" s="1150" t="s">
        <v>275</v>
      </c>
      <c r="F529" s="1149" t="s">
        <v>147</v>
      </c>
      <c r="G529" s="1149" t="s">
        <v>173</v>
      </c>
    </row>
    <row r="530" spans="1:7" outlineLevel="1">
      <c r="A530" s="1149" t="s">
        <v>521</v>
      </c>
      <c r="B530" s="1149" t="s">
        <v>171</v>
      </c>
      <c r="C530" s="1149" t="s">
        <v>172</v>
      </c>
      <c r="D530" s="1149" t="s">
        <v>273</v>
      </c>
      <c r="E530" s="1150" t="s">
        <v>732</v>
      </c>
      <c r="F530" s="1149" t="s">
        <v>147</v>
      </c>
      <c r="G530" s="1149" t="s">
        <v>173</v>
      </c>
    </row>
    <row r="531" spans="1:7" outlineLevel="1">
      <c r="A531" s="1149" t="s">
        <v>209</v>
      </c>
      <c r="B531" s="1149" t="s">
        <v>208</v>
      </c>
      <c r="C531" s="1149" t="s">
        <v>209</v>
      </c>
      <c r="D531" s="1149" t="s">
        <v>99</v>
      </c>
      <c r="E531" s="1150" t="s">
        <v>276</v>
      </c>
      <c r="F531" s="1149" t="s">
        <v>149</v>
      </c>
      <c r="G531" s="1149" t="s">
        <v>187</v>
      </c>
    </row>
    <row r="532" spans="1:7" outlineLevel="1">
      <c r="A532" s="1149" t="s">
        <v>695</v>
      </c>
      <c r="B532" s="1149" t="s">
        <v>208</v>
      </c>
      <c r="C532" s="1149" t="s">
        <v>209</v>
      </c>
      <c r="D532" s="1149" t="s">
        <v>99</v>
      </c>
      <c r="E532" s="1150" t="s">
        <v>276</v>
      </c>
      <c r="F532" s="1149" t="s">
        <v>149</v>
      </c>
      <c r="G532" s="1149" t="s">
        <v>187</v>
      </c>
    </row>
    <row r="533" spans="1:7" outlineLevel="1">
      <c r="A533" s="1149" t="s">
        <v>564</v>
      </c>
      <c r="B533" s="1149" t="s">
        <v>180</v>
      </c>
      <c r="C533" s="1149" t="s">
        <v>181</v>
      </c>
      <c r="D533" s="1149" t="s">
        <v>273</v>
      </c>
      <c r="E533" s="1150" t="s">
        <v>732</v>
      </c>
      <c r="F533" s="1149" t="s">
        <v>147</v>
      </c>
      <c r="G533" s="1149" t="s">
        <v>173</v>
      </c>
    </row>
    <row r="534" spans="1:7" outlineLevel="1">
      <c r="A534" s="1149" t="s">
        <v>807</v>
      </c>
      <c r="B534" s="1149" t="s">
        <v>134</v>
      </c>
      <c r="C534" s="1149" t="s">
        <v>135</v>
      </c>
      <c r="D534" s="1149" t="s">
        <v>99</v>
      </c>
      <c r="E534" s="1150" t="s">
        <v>275</v>
      </c>
      <c r="F534" s="1151" t="s">
        <v>141</v>
      </c>
      <c r="G534" s="1149" t="s">
        <v>187</v>
      </c>
    </row>
    <row r="535" spans="1:7" outlineLevel="1">
      <c r="A535" s="1149" t="s">
        <v>467</v>
      </c>
      <c r="B535" s="1149" t="s">
        <v>156</v>
      </c>
      <c r="C535" s="1149" t="s">
        <v>157</v>
      </c>
      <c r="D535" s="1149" t="s">
        <v>99</v>
      </c>
      <c r="E535" s="1150" t="s">
        <v>733</v>
      </c>
      <c r="F535" s="1149" t="s">
        <v>141</v>
      </c>
      <c r="G535" s="1149" t="s">
        <v>187</v>
      </c>
    </row>
    <row r="536" spans="1:7" outlineLevel="1">
      <c r="A536" s="1149" t="s">
        <v>468</v>
      </c>
      <c r="B536" s="1149" t="s">
        <v>156</v>
      </c>
      <c r="C536" s="1149" t="s">
        <v>157</v>
      </c>
      <c r="D536" s="1149" t="s">
        <v>99</v>
      </c>
      <c r="E536" s="1150" t="s">
        <v>733</v>
      </c>
      <c r="F536" s="1149" t="s">
        <v>141</v>
      </c>
      <c r="G536" s="1149" t="s">
        <v>187</v>
      </c>
    </row>
    <row r="537" spans="1:7" outlineLevel="1">
      <c r="A537" s="1149" t="s">
        <v>426</v>
      </c>
      <c r="B537" s="1149" t="s">
        <v>144</v>
      </c>
      <c r="C537" s="1149" t="s">
        <v>145</v>
      </c>
      <c r="D537" s="1149" t="s">
        <v>273</v>
      </c>
      <c r="E537" s="1150" t="s">
        <v>275</v>
      </c>
      <c r="F537" s="1149" t="s">
        <v>147</v>
      </c>
      <c r="G537" s="1149" t="s">
        <v>173</v>
      </c>
    </row>
    <row r="538" spans="1:7" outlineLevel="1">
      <c r="A538" s="1149" t="s">
        <v>211</v>
      </c>
      <c r="B538" s="1149" t="s">
        <v>210</v>
      </c>
      <c r="C538" s="1149" t="s">
        <v>211</v>
      </c>
      <c r="D538" s="1149" t="s">
        <v>273</v>
      </c>
      <c r="E538" s="1150" t="s">
        <v>276</v>
      </c>
      <c r="F538" s="1149" t="s">
        <v>149</v>
      </c>
      <c r="G538" s="1149" t="s">
        <v>173</v>
      </c>
    </row>
    <row r="539" spans="1:7" outlineLevel="1">
      <c r="A539" s="1149" t="s">
        <v>488</v>
      </c>
      <c r="B539" s="1149" t="s">
        <v>164</v>
      </c>
      <c r="C539" s="1149" t="s">
        <v>165</v>
      </c>
      <c r="D539" s="1149" t="s">
        <v>99</v>
      </c>
      <c r="E539" s="1150" t="s">
        <v>733</v>
      </c>
      <c r="F539" s="1149" t="s">
        <v>141</v>
      </c>
      <c r="G539" s="1149" t="s">
        <v>187</v>
      </c>
    </row>
    <row r="540" spans="1:7" outlineLevel="1">
      <c r="A540" s="1149" t="s">
        <v>1229</v>
      </c>
      <c r="B540" s="1149" t="s">
        <v>214</v>
      </c>
      <c r="C540" s="1149" t="s">
        <v>215</v>
      </c>
      <c r="D540" s="1149" t="s">
        <v>273</v>
      </c>
      <c r="E540" s="1150" t="s">
        <v>732</v>
      </c>
      <c r="F540" s="1149" t="s">
        <v>147</v>
      </c>
      <c r="G540" s="1149" t="s">
        <v>173</v>
      </c>
    </row>
    <row r="541" spans="1:7" outlineLevel="1">
      <c r="A541" s="1149" t="s">
        <v>398</v>
      </c>
      <c r="B541" s="1149" t="s">
        <v>134</v>
      </c>
      <c r="C541" s="1149" t="s">
        <v>135</v>
      </c>
      <c r="D541" s="1149" t="s">
        <v>99</v>
      </c>
      <c r="E541" s="1150" t="s">
        <v>275</v>
      </c>
      <c r="F541" s="1151" t="s">
        <v>141</v>
      </c>
      <c r="G541" s="1149" t="s">
        <v>187</v>
      </c>
    </row>
    <row r="542" spans="1:7" outlineLevel="1">
      <c r="A542" s="1149" t="s">
        <v>632</v>
      </c>
      <c r="B542" s="1149" t="s">
        <v>199</v>
      </c>
      <c r="C542" s="1149" t="s">
        <v>617</v>
      </c>
      <c r="D542" s="1149" t="s">
        <v>273</v>
      </c>
      <c r="E542" s="1150" t="s">
        <v>275</v>
      </c>
      <c r="F542" s="1149" t="s">
        <v>147</v>
      </c>
      <c r="G542" s="1149" t="s">
        <v>173</v>
      </c>
    </row>
    <row r="543" spans="1:7" outlineLevel="1">
      <c r="A543" s="1149" t="s">
        <v>522</v>
      </c>
      <c r="B543" s="1149" t="s">
        <v>171</v>
      </c>
      <c r="C543" s="1149" t="s">
        <v>172</v>
      </c>
      <c r="D543" s="1149" t="s">
        <v>273</v>
      </c>
      <c r="E543" s="1150" t="s">
        <v>732</v>
      </c>
      <c r="F543" s="1149" t="s">
        <v>147</v>
      </c>
      <c r="G543" s="1149" t="s">
        <v>173</v>
      </c>
    </row>
    <row r="544" spans="1:7" outlineLevel="1">
      <c r="A544" s="1149" t="s">
        <v>718</v>
      </c>
      <c r="B544" s="1149" t="s">
        <v>212</v>
      </c>
      <c r="C544" s="1149" t="s">
        <v>213</v>
      </c>
      <c r="D544" s="1149" t="s">
        <v>99</v>
      </c>
      <c r="E544" s="1150" t="s">
        <v>237</v>
      </c>
      <c r="F544" s="1149" t="s">
        <v>131</v>
      </c>
      <c r="G544" s="1149" t="s">
        <v>187</v>
      </c>
    </row>
    <row r="545" spans="1:7" outlineLevel="1">
      <c r="A545" s="1149" t="s">
        <v>719</v>
      </c>
      <c r="B545" s="1149" t="s">
        <v>212</v>
      </c>
      <c r="C545" s="1149" t="s">
        <v>213</v>
      </c>
      <c r="D545" s="1149" t="s">
        <v>99</v>
      </c>
      <c r="E545" s="1150" t="s">
        <v>237</v>
      </c>
      <c r="F545" s="1149" t="s">
        <v>131</v>
      </c>
      <c r="G545" s="1149" t="s">
        <v>187</v>
      </c>
    </row>
    <row r="546" spans="1:7" outlineLevel="1">
      <c r="A546" s="1149" t="s">
        <v>454</v>
      </c>
      <c r="B546" s="1149" t="s">
        <v>154</v>
      </c>
      <c r="C546" s="1149" t="s">
        <v>445</v>
      </c>
      <c r="D546" s="1149" t="s">
        <v>273</v>
      </c>
      <c r="E546" s="1150" t="s">
        <v>275</v>
      </c>
      <c r="F546" s="1149" t="s">
        <v>147</v>
      </c>
      <c r="G546" s="1149" t="s">
        <v>173</v>
      </c>
    </row>
    <row r="547" spans="1:7" outlineLevel="1">
      <c r="A547" s="1149" t="s">
        <v>477</v>
      </c>
      <c r="B547" s="1149" t="s">
        <v>162</v>
      </c>
      <c r="C547" s="1149" t="s">
        <v>163</v>
      </c>
      <c r="D547" s="1149" t="s">
        <v>273</v>
      </c>
      <c r="E547" s="1150" t="s">
        <v>275</v>
      </c>
      <c r="F547" s="1149" t="s">
        <v>147</v>
      </c>
      <c r="G547" s="1149" t="s">
        <v>173</v>
      </c>
    </row>
    <row r="548" spans="1:7" outlineLevel="1">
      <c r="A548" s="1149" t="s">
        <v>615</v>
      </c>
      <c r="B548" s="1149" t="s">
        <v>195</v>
      </c>
      <c r="C548" s="1149" t="s">
        <v>196</v>
      </c>
      <c r="D548" s="1149" t="s">
        <v>99</v>
      </c>
      <c r="E548" s="1150" t="s">
        <v>237</v>
      </c>
      <c r="F548" s="1149" t="s">
        <v>131</v>
      </c>
      <c r="G548" s="1149" t="s">
        <v>187</v>
      </c>
    </row>
    <row r="549" spans="1:7" outlineLevel="1">
      <c r="A549" s="1149" t="s">
        <v>1014</v>
      </c>
      <c r="B549" s="1149" t="s">
        <v>169</v>
      </c>
      <c r="C549" s="1149" t="s">
        <v>170</v>
      </c>
      <c r="D549" s="1149" t="s">
        <v>99</v>
      </c>
      <c r="E549" s="1150" t="s">
        <v>733</v>
      </c>
      <c r="F549" s="1149" t="s">
        <v>141</v>
      </c>
      <c r="G549" s="1149" t="s">
        <v>187</v>
      </c>
    </row>
    <row r="550" spans="1:7" outlineLevel="1">
      <c r="A550" s="1149" t="s">
        <v>213</v>
      </c>
      <c r="B550" s="1149" t="s">
        <v>212</v>
      </c>
      <c r="C550" s="1149" t="s">
        <v>213</v>
      </c>
      <c r="D550" s="1149" t="s">
        <v>99</v>
      </c>
      <c r="E550" s="1150" t="s">
        <v>237</v>
      </c>
      <c r="F550" s="1149" t="s">
        <v>131</v>
      </c>
      <c r="G550" s="1149" t="s">
        <v>187</v>
      </c>
    </row>
    <row r="551" spans="1:7" outlineLevel="1">
      <c r="A551" s="1149" t="s">
        <v>720</v>
      </c>
      <c r="B551" s="1149" t="s">
        <v>212</v>
      </c>
      <c r="C551" s="1149" t="s">
        <v>213</v>
      </c>
      <c r="D551" s="1149" t="s">
        <v>99</v>
      </c>
      <c r="E551" s="1150" t="s">
        <v>237</v>
      </c>
      <c r="F551" s="1149" t="s">
        <v>131</v>
      </c>
      <c r="G551" s="1149" t="s">
        <v>187</v>
      </c>
    </row>
    <row r="552" spans="1:7" outlineLevel="1">
      <c r="A552" s="1149" t="s">
        <v>659</v>
      </c>
      <c r="B552" s="1149" t="s">
        <v>202</v>
      </c>
      <c r="C552" s="1149" t="s">
        <v>203</v>
      </c>
      <c r="D552" s="1149" t="s">
        <v>99</v>
      </c>
      <c r="E552" s="1150" t="s">
        <v>277</v>
      </c>
      <c r="F552" s="1149" t="s">
        <v>1238</v>
      </c>
      <c r="G552" s="1149" t="s">
        <v>187</v>
      </c>
    </row>
    <row r="553" spans="1:7" outlineLevel="1">
      <c r="A553" s="1149" t="s">
        <v>660</v>
      </c>
      <c r="B553" s="1149" t="s">
        <v>202</v>
      </c>
      <c r="C553" s="1149" t="s">
        <v>203</v>
      </c>
      <c r="D553" s="1149" t="s">
        <v>99</v>
      </c>
      <c r="E553" s="1150" t="s">
        <v>277</v>
      </c>
      <c r="F553" s="1149" t="s">
        <v>1238</v>
      </c>
      <c r="G553" s="1149" t="s">
        <v>187</v>
      </c>
    </row>
    <row r="554" spans="1:7" outlineLevel="1">
      <c r="A554" s="1149" t="s">
        <v>661</v>
      </c>
      <c r="B554" s="1149" t="s">
        <v>202</v>
      </c>
      <c r="C554" s="1149" t="s">
        <v>203</v>
      </c>
      <c r="D554" s="1149" t="s">
        <v>99</v>
      </c>
      <c r="E554" s="1150" t="s">
        <v>277</v>
      </c>
      <c r="F554" s="1149" t="s">
        <v>1238</v>
      </c>
      <c r="G554" s="1149" t="s">
        <v>187</v>
      </c>
    </row>
    <row r="555" spans="1:7" outlineLevel="1">
      <c r="A555" s="1149" t="s">
        <v>661</v>
      </c>
      <c r="B555" s="1149" t="s">
        <v>202</v>
      </c>
      <c r="C555" s="1149" t="s">
        <v>203</v>
      </c>
      <c r="D555" s="1149" t="s">
        <v>99</v>
      </c>
      <c r="E555" s="1150" t="s">
        <v>277</v>
      </c>
      <c r="F555" s="1149" t="s">
        <v>1238</v>
      </c>
      <c r="G555" s="1149" t="s">
        <v>187</v>
      </c>
    </row>
    <row r="556" spans="1:7" outlineLevel="1">
      <c r="A556" s="1149" t="s">
        <v>478</v>
      </c>
      <c r="B556" s="1149" t="s">
        <v>162</v>
      </c>
      <c r="C556" s="1149" t="s">
        <v>163</v>
      </c>
      <c r="D556" s="1149" t="s">
        <v>273</v>
      </c>
      <c r="E556" s="1150" t="s">
        <v>275</v>
      </c>
      <c r="F556" s="1149" t="s">
        <v>147</v>
      </c>
      <c r="G556" s="1149" t="s">
        <v>173</v>
      </c>
    </row>
    <row r="557" spans="1:7" outlineLevel="1">
      <c r="A557" s="1149" t="s">
        <v>523</v>
      </c>
      <c r="B557" s="1149" t="s">
        <v>171</v>
      </c>
      <c r="C557" s="1149" t="s">
        <v>172</v>
      </c>
      <c r="D557" s="1149" t="s">
        <v>273</v>
      </c>
      <c r="E557" s="1150" t="s">
        <v>732</v>
      </c>
      <c r="F557" s="1149" t="s">
        <v>147</v>
      </c>
      <c r="G557" s="1149" t="s">
        <v>173</v>
      </c>
    </row>
    <row r="558" spans="1:7" outlineLevel="1">
      <c r="A558" s="1149" t="s">
        <v>479</v>
      </c>
      <c r="B558" s="1149" t="s">
        <v>162</v>
      </c>
      <c r="C558" s="1149" t="s">
        <v>163</v>
      </c>
      <c r="D558" s="1149" t="s">
        <v>273</v>
      </c>
      <c r="E558" s="1150" t="s">
        <v>275</v>
      </c>
      <c r="F558" s="1149" t="s">
        <v>147</v>
      </c>
      <c r="G558" s="1149" t="s">
        <v>173</v>
      </c>
    </row>
    <row r="559" spans="1:7" outlineLevel="1">
      <c r="A559" s="1149" t="s">
        <v>442</v>
      </c>
      <c r="B559" s="1149" t="s">
        <v>150</v>
      </c>
      <c r="C559" s="1149" t="s">
        <v>151</v>
      </c>
      <c r="D559" s="1149" t="s">
        <v>273</v>
      </c>
      <c r="E559" s="1150" t="s">
        <v>277</v>
      </c>
      <c r="F559" s="1149" t="s">
        <v>1238</v>
      </c>
      <c r="G559" s="1149" t="s">
        <v>173</v>
      </c>
    </row>
    <row r="560" spans="1:7" outlineLevel="1">
      <c r="A560" s="1149" t="s">
        <v>662</v>
      </c>
      <c r="B560" s="1149" t="s">
        <v>202</v>
      </c>
      <c r="C560" s="1149" t="s">
        <v>203</v>
      </c>
      <c r="D560" s="1149" t="s">
        <v>99</v>
      </c>
      <c r="E560" s="1150" t="s">
        <v>277</v>
      </c>
      <c r="F560" s="1149" t="s">
        <v>1238</v>
      </c>
      <c r="G560" s="1149" t="s">
        <v>187</v>
      </c>
    </row>
    <row r="561" spans="1:7" outlineLevel="1">
      <c r="A561" s="1149" t="s">
        <v>592</v>
      </c>
      <c r="B561" s="1149" t="s">
        <v>191</v>
      </c>
      <c r="C561" s="1149" t="s">
        <v>192</v>
      </c>
      <c r="D561" s="1149" t="s">
        <v>99</v>
      </c>
      <c r="E561" s="1150" t="s">
        <v>733</v>
      </c>
      <c r="F561" s="1149" t="s">
        <v>141</v>
      </c>
      <c r="G561" s="1149" t="s">
        <v>187</v>
      </c>
    </row>
    <row r="562" spans="1:7" outlineLevel="1">
      <c r="A562" s="1149" t="s">
        <v>593</v>
      </c>
      <c r="B562" s="1149" t="s">
        <v>191</v>
      </c>
      <c r="C562" s="1149" t="s">
        <v>192</v>
      </c>
      <c r="D562" s="1149" t="s">
        <v>99</v>
      </c>
      <c r="E562" s="1150" t="s">
        <v>733</v>
      </c>
      <c r="F562" s="1149" t="s">
        <v>141</v>
      </c>
      <c r="G562" s="1149" t="s">
        <v>187</v>
      </c>
    </row>
    <row r="563" spans="1:7" outlineLevel="1">
      <c r="A563" s="1149" t="s">
        <v>557</v>
      </c>
      <c r="B563" s="1149" t="s">
        <v>179</v>
      </c>
      <c r="C563" s="1149" t="s">
        <v>268</v>
      </c>
      <c r="D563" s="1149" t="s">
        <v>99</v>
      </c>
      <c r="E563" s="1150" t="s">
        <v>276</v>
      </c>
      <c r="F563" s="1149" t="s">
        <v>149</v>
      </c>
      <c r="G563" s="1149" t="s">
        <v>187</v>
      </c>
    </row>
    <row r="564" spans="1:7" outlineLevel="1">
      <c r="A564" s="1149" t="s">
        <v>663</v>
      </c>
      <c r="B564" s="1149" t="s">
        <v>202</v>
      </c>
      <c r="C564" s="1149" t="s">
        <v>203</v>
      </c>
      <c r="D564" s="1149" t="s">
        <v>99</v>
      </c>
      <c r="E564" s="1150" t="s">
        <v>277</v>
      </c>
      <c r="F564" s="1149" t="s">
        <v>1238</v>
      </c>
      <c r="G564" s="1149" t="s">
        <v>187</v>
      </c>
    </row>
    <row r="565" spans="1:7" outlineLevel="1">
      <c r="A565" s="1149" t="s">
        <v>380</v>
      </c>
      <c r="B565" s="1149" t="s">
        <v>127</v>
      </c>
      <c r="C565" s="1149" t="s">
        <v>271</v>
      </c>
      <c r="D565" s="1149" t="s">
        <v>273</v>
      </c>
      <c r="E565" s="1150" t="s">
        <v>732</v>
      </c>
      <c r="F565" s="1149" t="s">
        <v>147</v>
      </c>
      <c r="G565" s="1149" t="s">
        <v>173</v>
      </c>
    </row>
    <row r="566" spans="1:7" outlineLevel="1">
      <c r="A566" s="1149" t="s">
        <v>696</v>
      </c>
      <c r="B566" s="1149" t="s">
        <v>208</v>
      </c>
      <c r="C566" s="1149" t="s">
        <v>209</v>
      </c>
      <c r="D566" s="1149" t="s">
        <v>99</v>
      </c>
      <c r="E566" s="1150" t="s">
        <v>276</v>
      </c>
      <c r="F566" s="1149" t="s">
        <v>149</v>
      </c>
      <c r="G566" s="1149" t="s">
        <v>187</v>
      </c>
    </row>
    <row r="567" spans="1:7" outlineLevel="1">
      <c r="A567" s="1149" t="s">
        <v>469</v>
      </c>
      <c r="B567" s="1149" t="s">
        <v>156</v>
      </c>
      <c r="C567" s="1149" t="s">
        <v>157</v>
      </c>
      <c r="D567" s="1149" t="s">
        <v>99</v>
      </c>
      <c r="E567" s="1150" t="s">
        <v>733</v>
      </c>
      <c r="F567" s="1149" t="s">
        <v>141</v>
      </c>
      <c r="G567" s="1149" t="s">
        <v>187</v>
      </c>
    </row>
    <row r="568" spans="1:7" outlineLevel="1">
      <c r="A568" s="1149" t="s">
        <v>215</v>
      </c>
      <c r="B568" s="1149" t="s">
        <v>214</v>
      </c>
      <c r="C568" s="1149" t="s">
        <v>215</v>
      </c>
      <c r="D568" s="1149" t="s">
        <v>273</v>
      </c>
      <c r="E568" s="1150" t="s">
        <v>732</v>
      </c>
      <c r="F568" s="1149" t="s">
        <v>147</v>
      </c>
      <c r="G568" s="1149" t="s">
        <v>173</v>
      </c>
    </row>
    <row r="569" spans="1:7" outlineLevel="1">
      <c r="A569" s="1149" t="s">
        <v>374</v>
      </c>
      <c r="B569" s="1149" t="s">
        <v>126</v>
      </c>
      <c r="C569" s="1149" t="s">
        <v>270</v>
      </c>
      <c r="D569" s="1149" t="s">
        <v>273</v>
      </c>
      <c r="E569" s="1150" t="s">
        <v>277</v>
      </c>
      <c r="F569" s="1149" t="s">
        <v>1238</v>
      </c>
      <c r="G569" s="1149" t="s">
        <v>173</v>
      </c>
    </row>
    <row r="570" spans="1:7" outlineLevel="1">
      <c r="A570" s="1149" t="s">
        <v>685</v>
      </c>
      <c r="B570" s="1149" t="s">
        <v>206</v>
      </c>
      <c r="C570" s="1149" t="s">
        <v>207</v>
      </c>
      <c r="D570" s="1149" t="s">
        <v>99</v>
      </c>
      <c r="E570" s="1150" t="s">
        <v>237</v>
      </c>
      <c r="F570" s="1149" t="s">
        <v>131</v>
      </c>
      <c r="G570" s="1149" t="s">
        <v>187</v>
      </c>
    </row>
    <row r="571" spans="1:7" outlineLevel="1">
      <c r="A571" s="1149" t="s">
        <v>434</v>
      </c>
      <c r="B571" s="1149" t="s">
        <v>148</v>
      </c>
      <c r="C571" s="1149" t="s">
        <v>267</v>
      </c>
      <c r="D571" s="1149" t="s">
        <v>99</v>
      </c>
      <c r="E571" s="1150" t="s">
        <v>276</v>
      </c>
      <c r="F571" s="1149" t="s">
        <v>149</v>
      </c>
      <c r="G571" s="1149" t="s">
        <v>187</v>
      </c>
    </row>
    <row r="572" spans="1:7" outlineLevel="1">
      <c r="A572" s="1149" t="s">
        <v>686</v>
      </c>
      <c r="B572" s="1149" t="s">
        <v>206</v>
      </c>
      <c r="C572" s="1149" t="s">
        <v>207</v>
      </c>
      <c r="D572" s="1149" t="s">
        <v>99</v>
      </c>
      <c r="E572" s="1150" t="s">
        <v>237</v>
      </c>
      <c r="F572" s="1149" t="s">
        <v>131</v>
      </c>
      <c r="G572" s="1149" t="s">
        <v>187</v>
      </c>
    </row>
    <row r="573" spans="1:7" outlineLevel="1">
      <c r="A573" s="1149" t="s">
        <v>664</v>
      </c>
      <c r="B573" s="1149" t="s">
        <v>202</v>
      </c>
      <c r="C573" s="1149" t="s">
        <v>203</v>
      </c>
      <c r="D573" s="1149" t="s">
        <v>99</v>
      </c>
      <c r="E573" s="1150" t="s">
        <v>277</v>
      </c>
      <c r="F573" s="1149" t="s">
        <v>1238</v>
      </c>
      <c r="G573" s="1149" t="s">
        <v>187</v>
      </c>
    </row>
    <row r="574" spans="1:7" outlineLevel="1">
      <c r="A574" s="1149" t="s">
        <v>1235</v>
      </c>
      <c r="B574" s="1149" t="s">
        <v>202</v>
      </c>
      <c r="C574" s="1149" t="s">
        <v>203</v>
      </c>
      <c r="D574" s="1149" t="s">
        <v>99</v>
      </c>
      <c r="E574" s="1150" t="s">
        <v>277</v>
      </c>
      <c r="F574" s="1149" t="s">
        <v>1238</v>
      </c>
      <c r="G574" s="1149" t="s">
        <v>187</v>
      </c>
    </row>
    <row r="575" spans="1:7" outlineLevel="1">
      <c r="A575" s="1149" t="s">
        <v>455</v>
      </c>
      <c r="B575" s="1149" t="s">
        <v>154</v>
      </c>
      <c r="C575" s="1149" t="s">
        <v>445</v>
      </c>
      <c r="D575" s="1149" t="s">
        <v>273</v>
      </c>
      <c r="E575" s="1150" t="s">
        <v>275</v>
      </c>
      <c r="F575" s="1149" t="s">
        <v>147</v>
      </c>
      <c r="G575" s="1149" t="s">
        <v>173</v>
      </c>
    </row>
    <row r="576" spans="1:7" outlineLevel="1">
      <c r="A576" s="1149" t="s">
        <v>497</v>
      </c>
      <c r="B576" s="1149" t="s">
        <v>169</v>
      </c>
      <c r="C576" s="1149" t="s">
        <v>170</v>
      </c>
      <c r="D576" s="1149" t="s">
        <v>99</v>
      </c>
      <c r="E576" s="1150" t="s">
        <v>733</v>
      </c>
      <c r="F576" s="1149" t="s">
        <v>141</v>
      </c>
      <c r="G576" s="1149" t="s">
        <v>187</v>
      </c>
    </row>
    <row r="577" spans="1:7" outlineLevel="1">
      <c r="A577" s="1149" t="s">
        <v>704</v>
      </c>
      <c r="B577" s="1149" t="s">
        <v>210</v>
      </c>
      <c r="C577" s="1149" t="s">
        <v>211</v>
      </c>
      <c r="D577" s="1149" t="s">
        <v>273</v>
      </c>
      <c r="E577" s="1150" t="s">
        <v>276</v>
      </c>
      <c r="F577" s="1149" t="s">
        <v>149</v>
      </c>
      <c r="G577" s="1149" t="s">
        <v>173</v>
      </c>
    </row>
    <row r="578" spans="1:7" outlineLevel="1">
      <c r="A578" s="1149" t="s">
        <v>646</v>
      </c>
      <c r="B578" s="1149" t="s">
        <v>200</v>
      </c>
      <c r="C578" s="1149" t="s">
        <v>201</v>
      </c>
      <c r="D578" s="1149" t="s">
        <v>99</v>
      </c>
      <c r="E578" s="1150" t="s">
        <v>275</v>
      </c>
      <c r="F578" s="1149" t="s">
        <v>141</v>
      </c>
      <c r="G578" s="1149" t="s">
        <v>187</v>
      </c>
    </row>
    <row r="579" spans="1:7" outlineLevel="1">
      <c r="A579" s="1149" t="s">
        <v>633</v>
      </c>
      <c r="B579" s="1149" t="s">
        <v>199</v>
      </c>
      <c r="C579" s="1149" t="s">
        <v>617</v>
      </c>
      <c r="D579" s="1149" t="s">
        <v>273</v>
      </c>
      <c r="E579" s="1150" t="s">
        <v>275</v>
      </c>
      <c r="F579" s="1149" t="s">
        <v>147</v>
      </c>
      <c r="G579" s="1149" t="s">
        <v>173</v>
      </c>
    </row>
    <row r="580" spans="1:7" outlineLevel="1">
      <c r="A580" s="1149" t="s">
        <v>510</v>
      </c>
      <c r="B580" s="1149" t="s">
        <v>168</v>
      </c>
      <c r="C580" s="1149" t="s">
        <v>168</v>
      </c>
      <c r="D580" s="1149" t="s">
        <v>99</v>
      </c>
      <c r="E580" s="1150" t="s">
        <v>733</v>
      </c>
      <c r="F580" s="1149" t="s">
        <v>141</v>
      </c>
      <c r="G580" s="1149" t="s">
        <v>187</v>
      </c>
    </row>
    <row r="581" spans="1:7" outlineLevel="1">
      <c r="A581" s="1149" t="s">
        <v>456</v>
      </c>
      <c r="B581" s="1149" t="s">
        <v>154</v>
      </c>
      <c r="C581" s="1149" t="s">
        <v>445</v>
      </c>
      <c r="D581" s="1149" t="s">
        <v>273</v>
      </c>
      <c r="E581" s="1150" t="s">
        <v>276</v>
      </c>
      <c r="F581" s="1149" t="s">
        <v>149</v>
      </c>
      <c r="G581" s="1149" t="s">
        <v>173</v>
      </c>
    </row>
    <row r="582" spans="1:7" outlineLevel="1">
      <c r="A582" s="1149" t="s">
        <v>435</v>
      </c>
      <c r="B582" s="1149" t="s">
        <v>148</v>
      </c>
      <c r="C582" s="1149" t="s">
        <v>267</v>
      </c>
      <c r="D582" s="1149" t="s">
        <v>99</v>
      </c>
      <c r="E582" s="1150" t="s">
        <v>276</v>
      </c>
      <c r="F582" s="1149" t="s">
        <v>149</v>
      </c>
      <c r="G582" s="1149" t="s">
        <v>187</v>
      </c>
    </row>
    <row r="583" spans="1:7" outlineLevel="1">
      <c r="A583" s="1149" t="s">
        <v>565</v>
      </c>
      <c r="B583" s="1149" t="s">
        <v>180</v>
      </c>
      <c r="C583" s="1149" t="s">
        <v>181</v>
      </c>
      <c r="D583" s="1149" t="s">
        <v>273</v>
      </c>
      <c r="E583" s="1150" t="s">
        <v>732</v>
      </c>
      <c r="F583" s="1149" t="s">
        <v>147</v>
      </c>
      <c r="G583" s="1149" t="s">
        <v>173</v>
      </c>
    </row>
    <row r="584" spans="1:7" outlineLevel="1">
      <c r="A584" s="1149" t="s">
        <v>217</v>
      </c>
      <c r="B584" s="1149" t="s">
        <v>216</v>
      </c>
      <c r="C584" s="1149" t="s">
        <v>217</v>
      </c>
      <c r="D584" s="1149" t="s">
        <v>273</v>
      </c>
      <c r="E584" s="1150" t="s">
        <v>237</v>
      </c>
      <c r="F584" s="1149" t="s">
        <v>131</v>
      </c>
      <c r="G584" s="1149" t="s">
        <v>173</v>
      </c>
    </row>
    <row r="585" spans="1:7" outlineLevel="1">
      <c r="A585" s="1149" t="s">
        <v>363</v>
      </c>
      <c r="B585" s="1149" t="s">
        <v>124</v>
      </c>
      <c r="C585" s="1149" t="s">
        <v>125</v>
      </c>
      <c r="D585" s="1149" t="s">
        <v>273</v>
      </c>
      <c r="E585" s="1150" t="s">
        <v>732</v>
      </c>
      <c r="F585" s="1149" t="s">
        <v>147</v>
      </c>
      <c r="G585" s="1149" t="s">
        <v>173</v>
      </c>
    </row>
    <row r="586" spans="1:7" outlineLevel="1">
      <c r="A586" s="1149" t="s">
        <v>731</v>
      </c>
      <c r="B586" s="1149" t="s">
        <v>214</v>
      </c>
      <c r="C586" s="1149" t="s">
        <v>215</v>
      </c>
      <c r="D586" s="1149" t="s">
        <v>273</v>
      </c>
      <c r="E586" s="1150" t="s">
        <v>732</v>
      </c>
      <c r="F586" s="1149" t="s">
        <v>147</v>
      </c>
      <c r="G586" s="1149" t="s">
        <v>173</v>
      </c>
    </row>
    <row r="587" spans="1:7" outlineLevel="1">
      <c r="A587" s="1149" t="s">
        <v>443</v>
      </c>
      <c r="B587" s="1149" t="s">
        <v>150</v>
      </c>
      <c r="C587" s="1149" t="s">
        <v>151</v>
      </c>
      <c r="D587" s="1149" t="s">
        <v>273</v>
      </c>
      <c r="E587" s="1150" t="s">
        <v>277</v>
      </c>
      <c r="F587" s="1149" t="s">
        <v>1238</v>
      </c>
      <c r="G587" s="1149" t="s">
        <v>173</v>
      </c>
    </row>
    <row r="588" spans="1:7" outlineLevel="1"/>
  </sheetData>
  <autoFilter ref="A156:G587"/>
  <sortState ref="A158:G599">
    <sortCondition ref="A157"/>
  </sortState>
  <mergeCells count="65">
    <mergeCell ref="K146:L146"/>
    <mergeCell ref="K148:L148"/>
    <mergeCell ref="E87:F87"/>
    <mergeCell ref="A76:B76"/>
    <mergeCell ref="D76:G76"/>
    <mergeCell ref="P93:Q94"/>
    <mergeCell ref="M104:N104"/>
    <mergeCell ref="M125:N125"/>
    <mergeCell ref="M93:O94"/>
    <mergeCell ref="D72:E72"/>
    <mergeCell ref="F72:G72"/>
    <mergeCell ref="I76:J76"/>
    <mergeCell ref="I80:J81"/>
    <mergeCell ref="I74:I75"/>
    <mergeCell ref="J74:J75"/>
    <mergeCell ref="N47:O47"/>
    <mergeCell ref="N48:O48"/>
    <mergeCell ref="E49:F49"/>
    <mergeCell ref="A57:E57"/>
    <mergeCell ref="A60:J60"/>
    <mergeCell ref="O59:P59"/>
    <mergeCell ref="D58:E58"/>
    <mergeCell ref="K60:R60"/>
    <mergeCell ref="N52:O52"/>
    <mergeCell ref="Q16:R17"/>
    <mergeCell ref="N25:O25"/>
    <mergeCell ref="C17:C18"/>
    <mergeCell ref="H16:H17"/>
    <mergeCell ref="D16:D18"/>
    <mergeCell ref="E16:E17"/>
    <mergeCell ref="F16:F17"/>
    <mergeCell ref="G16:G17"/>
    <mergeCell ref="C25:C27"/>
    <mergeCell ref="D25:D27"/>
    <mergeCell ref="K12:L12"/>
    <mergeCell ref="K13:L13"/>
    <mergeCell ref="K16:L16"/>
    <mergeCell ref="N35:O35"/>
    <mergeCell ref="N36:O36"/>
    <mergeCell ref="A1:B1"/>
    <mergeCell ref="E2:F2"/>
    <mergeCell ref="E3:F3"/>
    <mergeCell ref="D4:G4"/>
    <mergeCell ref="I5:J5"/>
    <mergeCell ref="H1:I1"/>
    <mergeCell ref="I65:J65"/>
    <mergeCell ref="I66:J66"/>
    <mergeCell ref="I67:J67"/>
    <mergeCell ref="I68:J69"/>
    <mergeCell ref="I70:J70"/>
    <mergeCell ref="A15:C15"/>
    <mergeCell ref="N45:O45"/>
    <mergeCell ref="N46:O46"/>
    <mergeCell ref="N40:O40"/>
    <mergeCell ref="N41:O41"/>
    <mergeCell ref="N42:O42"/>
    <mergeCell ref="N43:O43"/>
    <mergeCell ref="N44:O44"/>
    <mergeCell ref="N39:O39"/>
    <mergeCell ref="M16:M17"/>
    <mergeCell ref="N16:P17"/>
    <mergeCell ref="N37:O37"/>
    <mergeCell ref="N38:O38"/>
    <mergeCell ref="B25:B27"/>
    <mergeCell ref="D23:D24"/>
  </mergeCells>
  <conditionalFormatting sqref="J52">
    <cfRule type="cellIs" dxfId="351" priority="84" stopIfTrue="1" operator="equal">
      <formula>"falsch"</formula>
    </cfRule>
  </conditionalFormatting>
  <conditionalFormatting sqref="A125:G125">
    <cfRule type="expression" dxfId="350" priority="85" stopIfTrue="1">
      <formula>OR($F$1="COE",$F$1="DO")</formula>
    </cfRule>
  </conditionalFormatting>
  <conditionalFormatting sqref="A126:G126">
    <cfRule type="expression" dxfId="349" priority="86" stopIfTrue="1">
      <formula>OR($F$1="BOR",$F$1="DO")</formula>
    </cfRule>
  </conditionalFormatting>
  <conditionalFormatting sqref="A127:G127">
    <cfRule type="expression" dxfId="348" priority="87" stopIfTrue="1">
      <formula>OR($F$1="BOR",$F$1="COE")</formula>
    </cfRule>
  </conditionalFormatting>
  <conditionalFormatting sqref="D4">
    <cfRule type="cellIs" dxfId="347" priority="88" stopIfTrue="1" operator="equal">
      <formula>"Erklärung nach § 7 (4) HeimG fehlt noch !!!"</formula>
    </cfRule>
  </conditionalFormatting>
  <conditionalFormatting sqref="I70">
    <cfRule type="expression" dxfId="346" priority="91" stopIfTrue="1">
      <formula>$K$70="x"</formula>
    </cfRule>
  </conditionalFormatting>
  <conditionalFormatting sqref="B36 B47 B40:B42">
    <cfRule type="cellIs" dxfId="345" priority="94" stopIfTrue="1" operator="equal">
      <formula>0</formula>
    </cfRule>
  </conditionalFormatting>
  <conditionalFormatting sqref="F57:F58">
    <cfRule type="cellIs" dxfId="344" priority="96" stopIfTrue="1" operator="equal">
      <formula>0</formula>
    </cfRule>
    <cfRule type="cellIs" dxfId="343" priority="97" stopIfTrue="1" operator="greaterThan">
      <formula>0</formula>
    </cfRule>
  </conditionalFormatting>
  <conditionalFormatting sqref="A13:C14">
    <cfRule type="cellIs" dxfId="342" priority="78" stopIfTrue="1" operator="equal">
      <formula>"Zu viel Personal in Verwaltung und/oder K/H/W !!!"</formula>
    </cfRule>
  </conditionalFormatting>
  <conditionalFormatting sqref="I76:J76">
    <cfRule type="expression" dxfId="341" priority="70">
      <formula>E2="Ergebnis"</formula>
    </cfRule>
  </conditionalFormatting>
  <conditionalFormatting sqref="I77">
    <cfRule type="expression" dxfId="340" priority="69">
      <formula>E2="Ergebnis"</formula>
    </cfRule>
  </conditionalFormatting>
  <conditionalFormatting sqref="I78">
    <cfRule type="expression" dxfId="339" priority="68">
      <formula>E2="Ergebnis"</formula>
    </cfRule>
  </conditionalFormatting>
  <conditionalFormatting sqref="J77">
    <cfRule type="expression" dxfId="338" priority="67">
      <formula>E2="Ergebnis"</formula>
    </cfRule>
  </conditionalFormatting>
  <conditionalFormatting sqref="J78">
    <cfRule type="expression" dxfId="337" priority="66">
      <formula>E2="Ergebnis"</formula>
    </cfRule>
  </conditionalFormatting>
  <conditionalFormatting sqref="H12">
    <cfRule type="containsErrors" dxfId="336" priority="65">
      <formula>ISERROR(H12)</formula>
    </cfRule>
  </conditionalFormatting>
  <conditionalFormatting sqref="B58:C59 F59">
    <cfRule type="containsErrors" dxfId="335" priority="64">
      <formula>ISERROR(B58)</formula>
    </cfRule>
  </conditionalFormatting>
  <conditionalFormatting sqref="C82">
    <cfRule type="containsErrors" dxfId="334" priority="63">
      <formula>ISERROR(C82)</formula>
    </cfRule>
  </conditionalFormatting>
  <conditionalFormatting sqref="B56 D56">
    <cfRule type="containsErrors" dxfId="333" priority="62">
      <formula>ISERROR(B56)</formula>
    </cfRule>
  </conditionalFormatting>
  <conditionalFormatting sqref="B56:E56 A59:F59 A58:D58 F58">
    <cfRule type="expression" dxfId="332" priority="61">
      <formula>$K$1="LE"</formula>
    </cfRule>
  </conditionalFormatting>
  <conditionalFormatting sqref="D58">
    <cfRule type="expression" dxfId="331" priority="60">
      <formula>$K$1="LE"</formula>
    </cfRule>
  </conditionalFormatting>
  <conditionalFormatting sqref="M52">
    <cfRule type="expression" dxfId="330" priority="55">
      <formula>$R$52=0</formula>
    </cfRule>
  </conditionalFormatting>
  <conditionalFormatting sqref="P52">
    <cfRule type="expression" dxfId="329" priority="54">
      <formula>$R$52=0</formula>
    </cfRule>
  </conditionalFormatting>
  <conditionalFormatting sqref="Q52">
    <cfRule type="expression" dxfId="328" priority="53">
      <formula>$R$52=0</formula>
    </cfRule>
  </conditionalFormatting>
  <conditionalFormatting sqref="R52">
    <cfRule type="cellIs" dxfId="327" priority="52" operator="equal">
      <formula>0</formula>
    </cfRule>
  </conditionalFormatting>
  <conditionalFormatting sqref="R57:S57">
    <cfRule type="containsErrors" dxfId="326" priority="51">
      <formula>ISERROR(R57)</formula>
    </cfRule>
  </conditionalFormatting>
  <conditionalFormatting sqref="J74:J75">
    <cfRule type="expression" dxfId="325" priority="45">
      <formula>$F$80&lt;&gt;$G$80</formula>
    </cfRule>
    <cfRule type="expression" dxfId="324" priority="46">
      <formula>$F$80=$G$80</formula>
    </cfRule>
  </conditionalFormatting>
  <conditionalFormatting sqref="J71:J75 I70:J70 K71">
    <cfRule type="containsErrors" dxfId="323" priority="44">
      <formula>ISERROR(I70)</formula>
    </cfRule>
  </conditionalFormatting>
  <conditionalFormatting sqref="G69:G71">
    <cfRule type="containsErrors" dxfId="322" priority="43">
      <formula>ISERROR(G69)</formula>
    </cfRule>
  </conditionalFormatting>
  <conditionalFormatting sqref="F78:F81">
    <cfRule type="containsErrors" dxfId="321" priority="42">
      <formula>ISERROR(F78)</formula>
    </cfRule>
  </conditionalFormatting>
  <conditionalFormatting sqref="B78:B83">
    <cfRule type="containsErrors" dxfId="320" priority="41">
      <formula>ISERROR(B78)</formula>
    </cfRule>
  </conditionalFormatting>
  <conditionalFormatting sqref="B69:F70">
    <cfRule type="containsErrors" dxfId="319" priority="99">
      <formula>ISERROR(B69)</formula>
    </cfRule>
  </conditionalFormatting>
  <conditionalFormatting sqref="B71:F71">
    <cfRule type="containsErrors" dxfId="318" priority="39">
      <formula>ISERROR(B71)</formula>
    </cfRule>
  </conditionalFormatting>
  <conditionalFormatting sqref="B73:F73">
    <cfRule type="containsErrors" dxfId="317" priority="98">
      <formula>ISERROR(B73)</formula>
    </cfRule>
  </conditionalFormatting>
  <conditionalFormatting sqref="B91:G91">
    <cfRule type="containsErrors" dxfId="316" priority="36">
      <formula>ISERROR(B91)</formula>
    </cfRule>
  </conditionalFormatting>
  <conditionalFormatting sqref="D34">
    <cfRule type="containsErrors" dxfId="315" priority="35">
      <formula>ISERROR(D34)</formula>
    </cfRule>
  </conditionalFormatting>
  <conditionalFormatting sqref="A25">
    <cfRule type="containsErrors" dxfId="314" priority="34">
      <formula>ISERROR(A25)</formula>
    </cfRule>
  </conditionalFormatting>
  <conditionalFormatting sqref="I11">
    <cfRule type="expression" dxfId="313" priority="31">
      <formula>ISERROR(I12)</formula>
    </cfRule>
  </conditionalFormatting>
  <conditionalFormatting sqref="I12">
    <cfRule type="containsErrors" dxfId="312" priority="30">
      <formula>ISERROR(I12)</formula>
    </cfRule>
  </conditionalFormatting>
  <conditionalFormatting sqref="E2:F2">
    <cfRule type="expression" dxfId="311" priority="25">
      <formula>E2="Ergebnis"</formula>
    </cfRule>
    <cfRule type="expression" dxfId="310" priority="26">
      <formula>E2="Nachforderung"</formula>
    </cfRule>
    <cfRule type="expression" dxfId="309" priority="27">
      <formula>E2="Forderung"</formula>
    </cfRule>
  </conditionalFormatting>
  <conditionalFormatting sqref="I80:J85">
    <cfRule type="expression" dxfId="308" priority="22">
      <formula>$E$2&lt;&gt;"Ergebnis"</formula>
    </cfRule>
  </conditionalFormatting>
  <conditionalFormatting sqref="I82:I85">
    <cfRule type="expression" dxfId="307" priority="21">
      <formula>$E$2&lt;&gt;"Ergebnis"</formula>
    </cfRule>
  </conditionalFormatting>
  <conditionalFormatting sqref="K19 K21">
    <cfRule type="cellIs" dxfId="306" priority="12" operator="equal">
      <formula>"Okay !"</formula>
    </cfRule>
  </conditionalFormatting>
  <conditionalFormatting sqref="A31">
    <cfRule type="expression" dxfId="305" priority="2">
      <formula>$G$31&gt;0</formula>
    </cfRule>
  </conditionalFormatting>
  <conditionalFormatting sqref="A32">
    <cfRule type="expression" dxfId="304" priority="1">
      <formula>$G$32&lt;&gt;0</formula>
    </cfRule>
  </conditionalFormatting>
  <dataValidations count="3">
    <dataValidation type="list" allowBlank="1" showInputMessage="1" showErrorMessage="1" prompt="Bitte aus der Liste auswählen." sqref="E2:F2">
      <formula1>"Forderung,Angebot,Nachforderung,Ergebnis"</formula1>
    </dataValidation>
    <dataValidation allowBlank="1" showInputMessage="1" showErrorMessage="1" promptTitle="Fachkraftquote" prompt="Automatische Übernahme der Fachkraftquote aus Tabellenblatt &quot;Personalkosten&quot;._x000a__x000a_Eingabe einer abweichenden Fachkraftquote ist möglich." sqref="A25"/>
    <dataValidation allowBlank="1" showInputMessage="1" showErrorMessage="1" promptTitle="Verhandlungstag" prompt="_x000a_Hier können Sie den Verhandlungstag eingeben." sqref="E1"/>
  </dataValidations>
  <printOptions horizontalCentered="1"/>
  <pageMargins left="0.70866141732283472" right="0.70866141732283472" top="0.78740157480314965" bottom="0.78740157480314965" header="0.31496062992125984" footer="0.31496062992125984"/>
  <pageSetup paperSize="9" scale="50" orientation="portrait" cellComments="asDisplayed"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9" id="{842EAA0E-942C-4F8E-8D6A-B6DF39F54D72}">
            <xm:f>'Copy &amp; Paste'!$I$1&lt;&gt;"BEK Schade"</xm:f>
            <x14:dxf>
              <font>
                <color theme="0"/>
              </font>
              <border>
                <right/>
                <top/>
                <vertical/>
                <horizontal/>
              </border>
            </x14:dxf>
          </x14:cfRule>
          <xm:sqref>I11</xm:sqref>
        </x14:conditionalFormatting>
        <x14:conditionalFormatting xmlns:xm="http://schemas.microsoft.com/office/excel/2006/main">
          <x14:cfRule type="expression" priority="28" id="{33E6B165-F532-46CA-8240-F801C558A2C9}">
            <xm:f>'Copy &amp; Paste'!$I$1&lt;&gt;"BEK Schade"</xm:f>
            <x14:dxf>
              <font>
                <color theme="0"/>
              </font>
              <border>
                <right/>
                <bottom/>
                <vertical/>
                <horizontal/>
              </border>
            </x14:dxf>
          </x14:cfRule>
          <xm:sqref>I12</xm:sqref>
        </x14:conditionalFormatting>
        <x14:conditionalFormatting xmlns:xm="http://schemas.microsoft.com/office/excel/2006/main">
          <x14:cfRule type="expression" priority="33" id="{126EE448-2C7C-44B4-8956-60822BD4A8BA}">
            <xm:f>'Copy &amp; Paste'!$B$13="nein"</xm:f>
            <x14:dxf>
              <font>
                <color theme="0"/>
              </font>
              <fill>
                <patternFill>
                  <bgColor theme="0"/>
                </patternFill>
              </fill>
              <border>
                <right/>
                <bottom/>
              </border>
            </x14:dxf>
          </x14:cfRule>
          <xm:sqref>A61:F63 F64 G62:G64</xm:sqref>
        </x14:conditionalFormatting>
        <x14:conditionalFormatting xmlns:xm="http://schemas.microsoft.com/office/excel/2006/main">
          <x14:cfRule type="expression" priority="32" id="{6F4E443E-6054-47D8-8081-9079B313CED3}">
            <xm:f>'Copy &amp; Paste'!$B$13="nein"</xm:f>
            <x14:dxf>
              <border>
                <left/>
                <bottom/>
                <vertical/>
                <horizontal/>
              </border>
            </x14:dxf>
          </x14:cfRule>
          <xm:sqref>F64 G61</xm:sqref>
        </x14:conditionalFormatting>
        <x14:conditionalFormatting xmlns:xm="http://schemas.microsoft.com/office/excel/2006/main">
          <x14:cfRule type="expression" priority="20" id="{44D1FAD2-D0E0-47E3-A320-EB9BC63B5D36}">
            <xm:f>'Copy &amp; Paste'!$I$1&lt;&gt;"BEK Schade"</xm:f>
            <x14:dxf>
              <font>
                <color theme="0"/>
              </font>
            </x14:dxf>
          </x14:cfRule>
          <xm:sqref>G34:H34</xm:sqref>
        </x14:conditionalFormatting>
        <x14:conditionalFormatting xmlns:xm="http://schemas.microsoft.com/office/excel/2006/main">
          <x14:cfRule type="expression" priority="19" id="{C86CB9AC-040F-4B65-98F3-BCF4D85C94B5}">
            <xm:f>'Copy &amp; Paste'!$I$1="BEK Schade"</xm:f>
            <x14:dxf>
              <border>
                <right style="dashDot">
                  <color auto="1"/>
                </right>
                <vertical/>
                <horizontal/>
              </border>
            </x14:dxf>
          </x14:cfRule>
          <xm:sqref>G34</xm:sqref>
        </x14:conditionalFormatting>
        <x14:conditionalFormatting xmlns:xm="http://schemas.microsoft.com/office/excel/2006/main">
          <x14:cfRule type="expression" priority="18" id="{CDC00D7E-7A9E-42AE-890B-03181F77657D}">
            <xm:f>'Copy &amp; Paste'!$I$1="BEK Schade"</xm:f>
            <x14:dxf>
              <border>
                <right style="dashDot">
                  <color auto="1"/>
                </right>
                <vertical/>
                <horizontal/>
              </border>
            </x14:dxf>
          </x14:cfRule>
          <xm:sqref>H34</xm:sqref>
        </x14:conditionalFormatting>
        <x14:conditionalFormatting xmlns:xm="http://schemas.microsoft.com/office/excel/2006/main">
          <x14:cfRule type="expression" priority="16" id="{AA83FEBF-F39B-4D4C-A8B5-24D1A8DD4853}">
            <xm:f>'Copy &amp; Paste'!$I$1&lt;&gt;"BEK Schade"</xm:f>
            <x14:dxf>
              <font>
                <color theme="0"/>
              </font>
            </x14:dxf>
          </x14:cfRule>
          <x14:cfRule type="expression" priority="17" id="{F5D7EAAD-A8B8-4102-8BED-7F62288A9EBE}">
            <xm:f>'Copy &amp; Paste'!$I$1="BEK Schade"</xm:f>
            <x14:dxf>
              <border>
                <right style="dashDot">
                  <color auto="1"/>
                </right>
                <vertical/>
                <horizontal/>
              </border>
            </x14:dxf>
          </x14:cfRule>
          <xm:sqref>I34</xm:sqref>
        </x14:conditionalFormatting>
        <x14:conditionalFormatting xmlns:xm="http://schemas.microsoft.com/office/excel/2006/main">
          <x14:cfRule type="expression" priority="15" id="{725DF7D8-0CCE-4CE7-A934-8F507B95C16F}">
            <xm:f>'Copy &amp; Paste'!$I$1&lt;&gt;"BEK Schade"</xm:f>
            <x14:dxf>
              <font>
                <color theme="0"/>
              </font>
              <fill>
                <patternFill patternType="none">
                  <bgColor auto="1"/>
                </patternFill>
              </fill>
              <border>
                <left/>
                <right/>
                <top/>
                <bottom/>
                <vertical/>
                <horizontal/>
              </border>
            </x14:dxf>
          </x14:cfRule>
          <xm:sqref>U3:AB11 V13:W19 U13:U19</xm:sqref>
        </x14:conditionalFormatting>
        <x14:conditionalFormatting xmlns:xm="http://schemas.microsoft.com/office/excel/2006/main">
          <x14:cfRule type="expression" priority="14" id="{AC1BA63F-6F1C-40F1-8B0D-AE669931A866}">
            <xm:f>'Copy &amp; Paste'!$I$1&lt;&gt;"BEK Schade"</xm:f>
            <x14:dxf>
              <font>
                <color theme="0"/>
              </font>
            </x14:dxf>
          </x14:cfRule>
          <xm:sqref>AE4:AK11</xm:sqref>
        </x14:conditionalFormatting>
        <x14:conditionalFormatting xmlns:xm="http://schemas.microsoft.com/office/excel/2006/main">
          <x14:cfRule type="expression" priority="13" id="{ABAE961F-4548-4F0C-AA94-B033F806088B}">
            <xm:f>'Copy &amp; Paste'!$I$1&lt;&gt;"BEK Schade"</xm:f>
            <x14:dxf>
              <font>
                <color theme="0"/>
              </font>
              <fill>
                <patternFill>
                  <bgColor theme="0"/>
                </patternFill>
              </fill>
            </x14:dxf>
          </x14:cfRule>
          <xm:sqref>H9</xm:sqref>
        </x14:conditionalFormatting>
        <x14:conditionalFormatting xmlns:xm="http://schemas.microsoft.com/office/excel/2006/main">
          <x14:cfRule type="expression" priority="100" id="{DF162B69-52FC-4450-A8E3-14EB32ABDA23}">
            <xm:f>'Copy &amp; Paste'!I1&lt;&gt;"BEK Schade"</xm:f>
            <x14:dxf>
              <font>
                <color theme="0"/>
              </font>
            </x14:dxf>
          </x14:cfRule>
          <xm:sqref>K21</xm:sqref>
        </x14:conditionalFormatting>
        <x14:conditionalFormatting xmlns:xm="http://schemas.microsoft.com/office/excel/2006/main">
          <x14:cfRule type="expression" priority="101" id="{DF162B69-52FC-4450-A8E3-14EB32ABDA23}">
            <xm:f>'Copy &amp; Paste'!#REF!&lt;&gt;"BEK Schade"</xm:f>
            <x14:dxf>
              <font>
                <color theme="0"/>
              </font>
            </x14:dxf>
          </x14:cfRule>
          <xm:sqref>K19</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tabColor rgb="FFCCFFFF"/>
    <pageSetUpPr fitToPage="1"/>
  </sheetPr>
  <dimension ref="A1:Z109"/>
  <sheetViews>
    <sheetView zoomScale="110" zoomScaleNormal="110" workbookViewId="0">
      <selection activeCell="J13" sqref="J13"/>
    </sheetView>
  </sheetViews>
  <sheetFormatPr baseColWidth="10" defaultRowHeight="12.75" outlineLevelRow="1" outlineLevelCol="1"/>
  <cols>
    <col min="1" max="1" width="17.85546875" style="1156" customWidth="1"/>
    <col min="2" max="4" width="17.42578125" style="1156" customWidth="1"/>
    <col min="5" max="5" width="2.28515625" style="1156" customWidth="1"/>
    <col min="6" max="6" width="17.85546875" style="1156" customWidth="1"/>
    <col min="7" max="9" width="17.42578125" style="1156" customWidth="1"/>
    <col min="10" max="10" width="17.42578125" style="1156" customWidth="1" outlineLevel="1"/>
    <col min="11" max="14" width="11.42578125" style="1156"/>
    <col min="15" max="15" width="11.42578125" style="1156" customWidth="1"/>
    <col min="16" max="258" width="11.42578125" style="1156"/>
    <col min="259" max="259" width="15.28515625" style="1156" customWidth="1"/>
    <col min="260" max="260" width="11.85546875" style="1156" bestFit="1" customWidth="1"/>
    <col min="261" max="261" width="12.7109375" style="1156" customWidth="1"/>
    <col min="262" max="262" width="14" style="1156" bestFit="1" customWidth="1"/>
    <col min="263" max="263" width="15.85546875" style="1156" customWidth="1"/>
    <col min="264" max="264" width="14.7109375" style="1156" customWidth="1"/>
    <col min="265" max="265" width="16.42578125" style="1156" customWidth="1"/>
    <col min="266" max="270" width="11.42578125" style="1156"/>
    <col min="271" max="271" width="0" style="1156" hidden="1" customWidth="1"/>
    <col min="272" max="514" width="11.42578125" style="1156"/>
    <col min="515" max="515" width="15.28515625" style="1156" customWidth="1"/>
    <col min="516" max="516" width="11.85546875" style="1156" bestFit="1" customWidth="1"/>
    <col min="517" max="517" width="12.7109375" style="1156" customWidth="1"/>
    <col min="518" max="518" width="14" style="1156" bestFit="1" customWidth="1"/>
    <col min="519" max="519" width="15.85546875" style="1156" customWidth="1"/>
    <col min="520" max="520" width="14.7109375" style="1156" customWidth="1"/>
    <col min="521" max="521" width="16.42578125" style="1156" customWidth="1"/>
    <col min="522" max="526" width="11.42578125" style="1156"/>
    <col min="527" max="527" width="0" style="1156" hidden="1" customWidth="1"/>
    <col min="528" max="770" width="11.42578125" style="1156"/>
    <col min="771" max="771" width="15.28515625" style="1156" customWidth="1"/>
    <col min="772" max="772" width="11.85546875" style="1156" bestFit="1" customWidth="1"/>
    <col min="773" max="773" width="12.7109375" style="1156" customWidth="1"/>
    <col min="774" max="774" width="14" style="1156" bestFit="1" customWidth="1"/>
    <col min="775" max="775" width="15.85546875" style="1156" customWidth="1"/>
    <col min="776" max="776" width="14.7109375" style="1156" customWidth="1"/>
    <col min="777" max="777" width="16.42578125" style="1156" customWidth="1"/>
    <col min="778" max="782" width="11.42578125" style="1156"/>
    <col min="783" max="783" width="0" style="1156" hidden="1" customWidth="1"/>
    <col min="784" max="1026" width="11.42578125" style="1156"/>
    <col min="1027" max="1027" width="15.28515625" style="1156" customWidth="1"/>
    <col min="1028" max="1028" width="11.85546875" style="1156" bestFit="1" customWidth="1"/>
    <col min="1029" max="1029" width="12.7109375" style="1156" customWidth="1"/>
    <col min="1030" max="1030" width="14" style="1156" bestFit="1" customWidth="1"/>
    <col min="1031" max="1031" width="15.85546875" style="1156" customWidth="1"/>
    <col min="1032" max="1032" width="14.7109375" style="1156" customWidth="1"/>
    <col min="1033" max="1033" width="16.42578125" style="1156" customWidth="1"/>
    <col min="1034" max="1038" width="11.42578125" style="1156"/>
    <col min="1039" max="1039" width="0" style="1156" hidden="1" customWidth="1"/>
    <col min="1040" max="1282" width="11.42578125" style="1156"/>
    <col min="1283" max="1283" width="15.28515625" style="1156" customWidth="1"/>
    <col min="1284" max="1284" width="11.85546875" style="1156" bestFit="1" customWidth="1"/>
    <col min="1285" max="1285" width="12.7109375" style="1156" customWidth="1"/>
    <col min="1286" max="1286" width="14" style="1156" bestFit="1" customWidth="1"/>
    <col min="1287" max="1287" width="15.85546875" style="1156" customWidth="1"/>
    <col min="1288" max="1288" width="14.7109375" style="1156" customWidth="1"/>
    <col min="1289" max="1289" width="16.42578125" style="1156" customWidth="1"/>
    <col min="1290" max="1294" width="11.42578125" style="1156"/>
    <col min="1295" max="1295" width="0" style="1156" hidden="1" customWidth="1"/>
    <col min="1296" max="1538" width="11.42578125" style="1156"/>
    <col min="1539" max="1539" width="15.28515625" style="1156" customWidth="1"/>
    <col min="1540" max="1540" width="11.85546875" style="1156" bestFit="1" customWidth="1"/>
    <col min="1541" max="1541" width="12.7109375" style="1156" customWidth="1"/>
    <col min="1542" max="1542" width="14" style="1156" bestFit="1" customWidth="1"/>
    <col min="1543" max="1543" width="15.85546875" style="1156" customWidth="1"/>
    <col min="1544" max="1544" width="14.7109375" style="1156" customWidth="1"/>
    <col min="1545" max="1545" width="16.42578125" style="1156" customWidth="1"/>
    <col min="1546" max="1550" width="11.42578125" style="1156"/>
    <col min="1551" max="1551" width="0" style="1156" hidden="1" customWidth="1"/>
    <col min="1552" max="1794" width="11.42578125" style="1156"/>
    <col min="1795" max="1795" width="15.28515625" style="1156" customWidth="1"/>
    <col min="1796" max="1796" width="11.85546875" style="1156" bestFit="1" customWidth="1"/>
    <col min="1797" max="1797" width="12.7109375" style="1156" customWidth="1"/>
    <col min="1798" max="1798" width="14" style="1156" bestFit="1" customWidth="1"/>
    <col min="1799" max="1799" width="15.85546875" style="1156" customWidth="1"/>
    <col min="1800" max="1800" width="14.7109375" style="1156" customWidth="1"/>
    <col min="1801" max="1801" width="16.42578125" style="1156" customWidth="1"/>
    <col min="1802" max="1806" width="11.42578125" style="1156"/>
    <col min="1807" max="1807" width="0" style="1156" hidden="1" customWidth="1"/>
    <col min="1808" max="2050" width="11.42578125" style="1156"/>
    <col min="2051" max="2051" width="15.28515625" style="1156" customWidth="1"/>
    <col min="2052" max="2052" width="11.85546875" style="1156" bestFit="1" customWidth="1"/>
    <col min="2053" max="2053" width="12.7109375" style="1156" customWidth="1"/>
    <col min="2054" max="2054" width="14" style="1156" bestFit="1" customWidth="1"/>
    <col min="2055" max="2055" width="15.85546875" style="1156" customWidth="1"/>
    <col min="2056" max="2056" width="14.7109375" style="1156" customWidth="1"/>
    <col min="2057" max="2057" width="16.42578125" style="1156" customWidth="1"/>
    <col min="2058" max="2062" width="11.42578125" style="1156"/>
    <col min="2063" max="2063" width="0" style="1156" hidden="1" customWidth="1"/>
    <col min="2064" max="2306" width="11.42578125" style="1156"/>
    <col min="2307" max="2307" width="15.28515625" style="1156" customWidth="1"/>
    <col min="2308" max="2308" width="11.85546875" style="1156" bestFit="1" customWidth="1"/>
    <col min="2309" max="2309" width="12.7109375" style="1156" customWidth="1"/>
    <col min="2310" max="2310" width="14" style="1156" bestFit="1" customWidth="1"/>
    <col min="2311" max="2311" width="15.85546875" style="1156" customWidth="1"/>
    <col min="2312" max="2312" width="14.7109375" style="1156" customWidth="1"/>
    <col min="2313" max="2313" width="16.42578125" style="1156" customWidth="1"/>
    <col min="2314" max="2318" width="11.42578125" style="1156"/>
    <col min="2319" max="2319" width="0" style="1156" hidden="1" customWidth="1"/>
    <col min="2320" max="2562" width="11.42578125" style="1156"/>
    <col min="2563" max="2563" width="15.28515625" style="1156" customWidth="1"/>
    <col min="2564" max="2564" width="11.85546875" style="1156" bestFit="1" customWidth="1"/>
    <col min="2565" max="2565" width="12.7109375" style="1156" customWidth="1"/>
    <col min="2566" max="2566" width="14" style="1156" bestFit="1" customWidth="1"/>
    <col min="2567" max="2567" width="15.85546875" style="1156" customWidth="1"/>
    <col min="2568" max="2568" width="14.7109375" style="1156" customWidth="1"/>
    <col min="2569" max="2569" width="16.42578125" style="1156" customWidth="1"/>
    <col min="2570" max="2574" width="11.42578125" style="1156"/>
    <col min="2575" max="2575" width="0" style="1156" hidden="1" customWidth="1"/>
    <col min="2576" max="2818" width="11.42578125" style="1156"/>
    <col min="2819" max="2819" width="15.28515625" style="1156" customWidth="1"/>
    <col min="2820" max="2820" width="11.85546875" style="1156" bestFit="1" customWidth="1"/>
    <col min="2821" max="2821" width="12.7109375" style="1156" customWidth="1"/>
    <col min="2822" max="2822" width="14" style="1156" bestFit="1" customWidth="1"/>
    <col min="2823" max="2823" width="15.85546875" style="1156" customWidth="1"/>
    <col min="2824" max="2824" width="14.7109375" style="1156" customWidth="1"/>
    <col min="2825" max="2825" width="16.42578125" style="1156" customWidth="1"/>
    <col min="2826" max="2830" width="11.42578125" style="1156"/>
    <col min="2831" max="2831" width="0" style="1156" hidden="1" customWidth="1"/>
    <col min="2832" max="3074" width="11.42578125" style="1156"/>
    <col min="3075" max="3075" width="15.28515625" style="1156" customWidth="1"/>
    <col min="3076" max="3076" width="11.85546875" style="1156" bestFit="1" customWidth="1"/>
    <col min="3077" max="3077" width="12.7109375" style="1156" customWidth="1"/>
    <col min="3078" max="3078" width="14" style="1156" bestFit="1" customWidth="1"/>
    <col min="3079" max="3079" width="15.85546875" style="1156" customWidth="1"/>
    <col min="3080" max="3080" width="14.7109375" style="1156" customWidth="1"/>
    <col min="3081" max="3081" width="16.42578125" style="1156" customWidth="1"/>
    <col min="3082" max="3086" width="11.42578125" style="1156"/>
    <col min="3087" max="3087" width="0" style="1156" hidden="1" customWidth="1"/>
    <col min="3088" max="3330" width="11.42578125" style="1156"/>
    <col min="3331" max="3331" width="15.28515625" style="1156" customWidth="1"/>
    <col min="3332" max="3332" width="11.85546875" style="1156" bestFit="1" customWidth="1"/>
    <col min="3333" max="3333" width="12.7109375" style="1156" customWidth="1"/>
    <col min="3334" max="3334" width="14" style="1156" bestFit="1" customWidth="1"/>
    <col min="3335" max="3335" width="15.85546875" style="1156" customWidth="1"/>
    <col min="3336" max="3336" width="14.7109375" style="1156" customWidth="1"/>
    <col min="3337" max="3337" width="16.42578125" style="1156" customWidth="1"/>
    <col min="3338" max="3342" width="11.42578125" style="1156"/>
    <col min="3343" max="3343" width="0" style="1156" hidden="1" customWidth="1"/>
    <col min="3344" max="3586" width="11.42578125" style="1156"/>
    <col min="3587" max="3587" width="15.28515625" style="1156" customWidth="1"/>
    <col min="3588" max="3588" width="11.85546875" style="1156" bestFit="1" customWidth="1"/>
    <col min="3589" max="3589" width="12.7109375" style="1156" customWidth="1"/>
    <col min="3590" max="3590" width="14" style="1156" bestFit="1" customWidth="1"/>
    <col min="3591" max="3591" width="15.85546875" style="1156" customWidth="1"/>
    <col min="3592" max="3592" width="14.7109375" style="1156" customWidth="1"/>
    <col min="3593" max="3593" width="16.42578125" style="1156" customWidth="1"/>
    <col min="3594" max="3598" width="11.42578125" style="1156"/>
    <col min="3599" max="3599" width="0" style="1156" hidden="1" customWidth="1"/>
    <col min="3600" max="3842" width="11.42578125" style="1156"/>
    <col min="3843" max="3843" width="15.28515625" style="1156" customWidth="1"/>
    <col min="3844" max="3844" width="11.85546875" style="1156" bestFit="1" customWidth="1"/>
    <col min="3845" max="3845" width="12.7109375" style="1156" customWidth="1"/>
    <col min="3846" max="3846" width="14" style="1156" bestFit="1" customWidth="1"/>
    <col min="3847" max="3847" width="15.85546875" style="1156" customWidth="1"/>
    <col min="3848" max="3848" width="14.7109375" style="1156" customWidth="1"/>
    <col min="3849" max="3849" width="16.42578125" style="1156" customWidth="1"/>
    <col min="3850" max="3854" width="11.42578125" style="1156"/>
    <col min="3855" max="3855" width="0" style="1156" hidden="1" customWidth="1"/>
    <col min="3856" max="4098" width="11.42578125" style="1156"/>
    <col min="4099" max="4099" width="15.28515625" style="1156" customWidth="1"/>
    <col min="4100" max="4100" width="11.85546875" style="1156" bestFit="1" customWidth="1"/>
    <col min="4101" max="4101" width="12.7109375" style="1156" customWidth="1"/>
    <col min="4102" max="4102" width="14" style="1156" bestFit="1" customWidth="1"/>
    <col min="4103" max="4103" width="15.85546875" style="1156" customWidth="1"/>
    <col min="4104" max="4104" width="14.7109375" style="1156" customWidth="1"/>
    <col min="4105" max="4105" width="16.42578125" style="1156" customWidth="1"/>
    <col min="4106" max="4110" width="11.42578125" style="1156"/>
    <col min="4111" max="4111" width="0" style="1156" hidden="1" customWidth="1"/>
    <col min="4112" max="4354" width="11.42578125" style="1156"/>
    <col min="4355" max="4355" width="15.28515625" style="1156" customWidth="1"/>
    <col min="4356" max="4356" width="11.85546875" style="1156" bestFit="1" customWidth="1"/>
    <col min="4357" max="4357" width="12.7109375" style="1156" customWidth="1"/>
    <col min="4358" max="4358" width="14" style="1156" bestFit="1" customWidth="1"/>
    <col min="4359" max="4359" width="15.85546875" style="1156" customWidth="1"/>
    <col min="4360" max="4360" width="14.7109375" style="1156" customWidth="1"/>
    <col min="4361" max="4361" width="16.42578125" style="1156" customWidth="1"/>
    <col min="4362" max="4366" width="11.42578125" style="1156"/>
    <col min="4367" max="4367" width="0" style="1156" hidden="1" customWidth="1"/>
    <col min="4368" max="4610" width="11.42578125" style="1156"/>
    <col min="4611" max="4611" width="15.28515625" style="1156" customWidth="1"/>
    <col min="4612" max="4612" width="11.85546875" style="1156" bestFit="1" customWidth="1"/>
    <col min="4613" max="4613" width="12.7109375" style="1156" customWidth="1"/>
    <col min="4614" max="4614" width="14" style="1156" bestFit="1" customWidth="1"/>
    <col min="4615" max="4615" width="15.85546875" style="1156" customWidth="1"/>
    <col min="4616" max="4616" width="14.7109375" style="1156" customWidth="1"/>
    <col min="4617" max="4617" width="16.42578125" style="1156" customWidth="1"/>
    <col min="4618" max="4622" width="11.42578125" style="1156"/>
    <col min="4623" max="4623" width="0" style="1156" hidden="1" customWidth="1"/>
    <col min="4624" max="4866" width="11.42578125" style="1156"/>
    <col min="4867" max="4867" width="15.28515625" style="1156" customWidth="1"/>
    <col min="4868" max="4868" width="11.85546875" style="1156" bestFit="1" customWidth="1"/>
    <col min="4869" max="4869" width="12.7109375" style="1156" customWidth="1"/>
    <col min="4870" max="4870" width="14" style="1156" bestFit="1" customWidth="1"/>
    <col min="4871" max="4871" width="15.85546875" style="1156" customWidth="1"/>
    <col min="4872" max="4872" width="14.7109375" style="1156" customWidth="1"/>
    <col min="4873" max="4873" width="16.42578125" style="1156" customWidth="1"/>
    <col min="4874" max="4878" width="11.42578125" style="1156"/>
    <col min="4879" max="4879" width="0" style="1156" hidden="1" customWidth="1"/>
    <col min="4880" max="5122" width="11.42578125" style="1156"/>
    <col min="5123" max="5123" width="15.28515625" style="1156" customWidth="1"/>
    <col min="5124" max="5124" width="11.85546875" style="1156" bestFit="1" customWidth="1"/>
    <col min="5125" max="5125" width="12.7109375" style="1156" customWidth="1"/>
    <col min="5126" max="5126" width="14" style="1156" bestFit="1" customWidth="1"/>
    <col min="5127" max="5127" width="15.85546875" style="1156" customWidth="1"/>
    <col min="5128" max="5128" width="14.7109375" style="1156" customWidth="1"/>
    <col min="5129" max="5129" width="16.42578125" style="1156" customWidth="1"/>
    <col min="5130" max="5134" width="11.42578125" style="1156"/>
    <col min="5135" max="5135" width="0" style="1156" hidden="1" customWidth="1"/>
    <col min="5136" max="5378" width="11.42578125" style="1156"/>
    <col min="5379" max="5379" width="15.28515625" style="1156" customWidth="1"/>
    <col min="5380" max="5380" width="11.85546875" style="1156" bestFit="1" customWidth="1"/>
    <col min="5381" max="5381" width="12.7109375" style="1156" customWidth="1"/>
    <col min="5382" max="5382" width="14" style="1156" bestFit="1" customWidth="1"/>
    <col min="5383" max="5383" width="15.85546875" style="1156" customWidth="1"/>
    <col min="5384" max="5384" width="14.7109375" style="1156" customWidth="1"/>
    <col min="5385" max="5385" width="16.42578125" style="1156" customWidth="1"/>
    <col min="5386" max="5390" width="11.42578125" style="1156"/>
    <col min="5391" max="5391" width="0" style="1156" hidden="1" customWidth="1"/>
    <col min="5392" max="5634" width="11.42578125" style="1156"/>
    <col min="5635" max="5635" width="15.28515625" style="1156" customWidth="1"/>
    <col min="5636" max="5636" width="11.85546875" style="1156" bestFit="1" customWidth="1"/>
    <col min="5637" max="5637" width="12.7109375" style="1156" customWidth="1"/>
    <col min="5638" max="5638" width="14" style="1156" bestFit="1" customWidth="1"/>
    <col min="5639" max="5639" width="15.85546875" style="1156" customWidth="1"/>
    <col min="5640" max="5640" width="14.7109375" style="1156" customWidth="1"/>
    <col min="5641" max="5641" width="16.42578125" style="1156" customWidth="1"/>
    <col min="5642" max="5646" width="11.42578125" style="1156"/>
    <col min="5647" max="5647" width="0" style="1156" hidden="1" customWidth="1"/>
    <col min="5648" max="5890" width="11.42578125" style="1156"/>
    <col min="5891" max="5891" width="15.28515625" style="1156" customWidth="1"/>
    <col min="5892" max="5892" width="11.85546875" style="1156" bestFit="1" customWidth="1"/>
    <col min="5893" max="5893" width="12.7109375" style="1156" customWidth="1"/>
    <col min="5894" max="5894" width="14" style="1156" bestFit="1" customWidth="1"/>
    <col min="5895" max="5895" width="15.85546875" style="1156" customWidth="1"/>
    <col min="5896" max="5896" width="14.7109375" style="1156" customWidth="1"/>
    <col min="5897" max="5897" width="16.42578125" style="1156" customWidth="1"/>
    <col min="5898" max="5902" width="11.42578125" style="1156"/>
    <col min="5903" max="5903" width="0" style="1156" hidden="1" customWidth="1"/>
    <col min="5904" max="6146" width="11.42578125" style="1156"/>
    <col min="6147" max="6147" width="15.28515625" style="1156" customWidth="1"/>
    <col min="6148" max="6148" width="11.85546875" style="1156" bestFit="1" customWidth="1"/>
    <col min="6149" max="6149" width="12.7109375" style="1156" customWidth="1"/>
    <col min="6150" max="6150" width="14" style="1156" bestFit="1" customWidth="1"/>
    <col min="6151" max="6151" width="15.85546875" style="1156" customWidth="1"/>
    <col min="6152" max="6152" width="14.7109375" style="1156" customWidth="1"/>
    <col min="6153" max="6153" width="16.42578125" style="1156" customWidth="1"/>
    <col min="6154" max="6158" width="11.42578125" style="1156"/>
    <col min="6159" max="6159" width="0" style="1156" hidden="1" customWidth="1"/>
    <col min="6160" max="6402" width="11.42578125" style="1156"/>
    <col min="6403" max="6403" width="15.28515625" style="1156" customWidth="1"/>
    <col min="6404" max="6404" width="11.85546875" style="1156" bestFit="1" customWidth="1"/>
    <col min="6405" max="6405" width="12.7109375" style="1156" customWidth="1"/>
    <col min="6406" max="6406" width="14" style="1156" bestFit="1" customWidth="1"/>
    <col min="6407" max="6407" width="15.85546875" style="1156" customWidth="1"/>
    <col min="6408" max="6408" width="14.7109375" style="1156" customWidth="1"/>
    <col min="6409" max="6409" width="16.42578125" style="1156" customWidth="1"/>
    <col min="6410" max="6414" width="11.42578125" style="1156"/>
    <col min="6415" max="6415" width="0" style="1156" hidden="1" customWidth="1"/>
    <col min="6416" max="6658" width="11.42578125" style="1156"/>
    <col min="6659" max="6659" width="15.28515625" style="1156" customWidth="1"/>
    <col min="6660" max="6660" width="11.85546875" style="1156" bestFit="1" customWidth="1"/>
    <col min="6661" max="6661" width="12.7109375" style="1156" customWidth="1"/>
    <col min="6662" max="6662" width="14" style="1156" bestFit="1" customWidth="1"/>
    <col min="6663" max="6663" width="15.85546875" style="1156" customWidth="1"/>
    <col min="6664" max="6664" width="14.7109375" style="1156" customWidth="1"/>
    <col min="6665" max="6665" width="16.42578125" style="1156" customWidth="1"/>
    <col min="6666" max="6670" width="11.42578125" style="1156"/>
    <col min="6671" max="6671" width="0" style="1156" hidden="1" customWidth="1"/>
    <col min="6672" max="6914" width="11.42578125" style="1156"/>
    <col min="6915" max="6915" width="15.28515625" style="1156" customWidth="1"/>
    <col min="6916" max="6916" width="11.85546875" style="1156" bestFit="1" customWidth="1"/>
    <col min="6917" max="6917" width="12.7109375" style="1156" customWidth="1"/>
    <col min="6918" max="6918" width="14" style="1156" bestFit="1" customWidth="1"/>
    <col min="6919" max="6919" width="15.85546875" style="1156" customWidth="1"/>
    <col min="6920" max="6920" width="14.7109375" style="1156" customWidth="1"/>
    <col min="6921" max="6921" width="16.42578125" style="1156" customWidth="1"/>
    <col min="6922" max="6926" width="11.42578125" style="1156"/>
    <col min="6927" max="6927" width="0" style="1156" hidden="1" customWidth="1"/>
    <col min="6928" max="7170" width="11.42578125" style="1156"/>
    <col min="7171" max="7171" width="15.28515625" style="1156" customWidth="1"/>
    <col min="7172" max="7172" width="11.85546875" style="1156" bestFit="1" customWidth="1"/>
    <col min="7173" max="7173" width="12.7109375" style="1156" customWidth="1"/>
    <col min="7174" max="7174" width="14" style="1156" bestFit="1" customWidth="1"/>
    <col min="7175" max="7175" width="15.85546875" style="1156" customWidth="1"/>
    <col min="7176" max="7176" width="14.7109375" style="1156" customWidth="1"/>
    <col min="7177" max="7177" width="16.42578125" style="1156" customWidth="1"/>
    <col min="7178" max="7182" width="11.42578125" style="1156"/>
    <col min="7183" max="7183" width="0" style="1156" hidden="1" customWidth="1"/>
    <col min="7184" max="7426" width="11.42578125" style="1156"/>
    <col min="7427" max="7427" width="15.28515625" style="1156" customWidth="1"/>
    <col min="7428" max="7428" width="11.85546875" style="1156" bestFit="1" customWidth="1"/>
    <col min="7429" max="7429" width="12.7109375" style="1156" customWidth="1"/>
    <col min="7430" max="7430" width="14" style="1156" bestFit="1" customWidth="1"/>
    <col min="7431" max="7431" width="15.85546875" style="1156" customWidth="1"/>
    <col min="7432" max="7432" width="14.7109375" style="1156" customWidth="1"/>
    <col min="7433" max="7433" width="16.42578125" style="1156" customWidth="1"/>
    <col min="7434" max="7438" width="11.42578125" style="1156"/>
    <col min="7439" max="7439" width="0" style="1156" hidden="1" customWidth="1"/>
    <col min="7440" max="7682" width="11.42578125" style="1156"/>
    <col min="7683" max="7683" width="15.28515625" style="1156" customWidth="1"/>
    <col min="7684" max="7684" width="11.85546875" style="1156" bestFit="1" customWidth="1"/>
    <col min="7685" max="7685" width="12.7109375" style="1156" customWidth="1"/>
    <col min="7686" max="7686" width="14" style="1156" bestFit="1" customWidth="1"/>
    <col min="7687" max="7687" width="15.85546875" style="1156" customWidth="1"/>
    <col min="7688" max="7688" width="14.7109375" style="1156" customWidth="1"/>
    <col min="7689" max="7689" width="16.42578125" style="1156" customWidth="1"/>
    <col min="7690" max="7694" width="11.42578125" style="1156"/>
    <col min="7695" max="7695" width="0" style="1156" hidden="1" customWidth="1"/>
    <col min="7696" max="7938" width="11.42578125" style="1156"/>
    <col min="7939" max="7939" width="15.28515625" style="1156" customWidth="1"/>
    <col min="7940" max="7940" width="11.85546875" style="1156" bestFit="1" customWidth="1"/>
    <col min="7941" max="7941" width="12.7109375" style="1156" customWidth="1"/>
    <col min="7942" max="7942" width="14" style="1156" bestFit="1" customWidth="1"/>
    <col min="7943" max="7943" width="15.85546875" style="1156" customWidth="1"/>
    <col min="7944" max="7944" width="14.7109375" style="1156" customWidth="1"/>
    <col min="7945" max="7945" width="16.42578125" style="1156" customWidth="1"/>
    <col min="7946" max="7950" width="11.42578125" style="1156"/>
    <col min="7951" max="7951" width="0" style="1156" hidden="1" customWidth="1"/>
    <col min="7952" max="8194" width="11.42578125" style="1156"/>
    <col min="8195" max="8195" width="15.28515625" style="1156" customWidth="1"/>
    <col min="8196" max="8196" width="11.85546875" style="1156" bestFit="1" customWidth="1"/>
    <col min="8197" max="8197" width="12.7109375" style="1156" customWidth="1"/>
    <col min="8198" max="8198" width="14" style="1156" bestFit="1" customWidth="1"/>
    <col min="8199" max="8199" width="15.85546875" style="1156" customWidth="1"/>
    <col min="8200" max="8200" width="14.7109375" style="1156" customWidth="1"/>
    <col min="8201" max="8201" width="16.42578125" style="1156" customWidth="1"/>
    <col min="8202" max="8206" width="11.42578125" style="1156"/>
    <col min="8207" max="8207" width="0" style="1156" hidden="1" customWidth="1"/>
    <col min="8208" max="8450" width="11.42578125" style="1156"/>
    <col min="8451" max="8451" width="15.28515625" style="1156" customWidth="1"/>
    <col min="8452" max="8452" width="11.85546875" style="1156" bestFit="1" customWidth="1"/>
    <col min="8453" max="8453" width="12.7109375" style="1156" customWidth="1"/>
    <col min="8454" max="8454" width="14" style="1156" bestFit="1" customWidth="1"/>
    <col min="8455" max="8455" width="15.85546875" style="1156" customWidth="1"/>
    <col min="8456" max="8456" width="14.7109375" style="1156" customWidth="1"/>
    <col min="8457" max="8457" width="16.42578125" style="1156" customWidth="1"/>
    <col min="8458" max="8462" width="11.42578125" style="1156"/>
    <col min="8463" max="8463" width="0" style="1156" hidden="1" customWidth="1"/>
    <col min="8464" max="8706" width="11.42578125" style="1156"/>
    <col min="8707" max="8707" width="15.28515625" style="1156" customWidth="1"/>
    <col min="8708" max="8708" width="11.85546875" style="1156" bestFit="1" customWidth="1"/>
    <col min="8709" max="8709" width="12.7109375" style="1156" customWidth="1"/>
    <col min="8710" max="8710" width="14" style="1156" bestFit="1" customWidth="1"/>
    <col min="8711" max="8711" width="15.85546875" style="1156" customWidth="1"/>
    <col min="8712" max="8712" width="14.7109375" style="1156" customWidth="1"/>
    <col min="8713" max="8713" width="16.42578125" style="1156" customWidth="1"/>
    <col min="8714" max="8718" width="11.42578125" style="1156"/>
    <col min="8719" max="8719" width="0" style="1156" hidden="1" customWidth="1"/>
    <col min="8720" max="8962" width="11.42578125" style="1156"/>
    <col min="8963" max="8963" width="15.28515625" style="1156" customWidth="1"/>
    <col min="8964" max="8964" width="11.85546875" style="1156" bestFit="1" customWidth="1"/>
    <col min="8965" max="8965" width="12.7109375" style="1156" customWidth="1"/>
    <col min="8966" max="8966" width="14" style="1156" bestFit="1" customWidth="1"/>
    <col min="8967" max="8967" width="15.85546875" style="1156" customWidth="1"/>
    <col min="8968" max="8968" width="14.7109375" style="1156" customWidth="1"/>
    <col min="8969" max="8969" width="16.42578125" style="1156" customWidth="1"/>
    <col min="8970" max="8974" width="11.42578125" style="1156"/>
    <col min="8975" max="8975" width="0" style="1156" hidden="1" customWidth="1"/>
    <col min="8976" max="9218" width="11.42578125" style="1156"/>
    <col min="9219" max="9219" width="15.28515625" style="1156" customWidth="1"/>
    <col min="9220" max="9220" width="11.85546875" style="1156" bestFit="1" customWidth="1"/>
    <col min="9221" max="9221" width="12.7109375" style="1156" customWidth="1"/>
    <col min="9222" max="9222" width="14" style="1156" bestFit="1" customWidth="1"/>
    <col min="9223" max="9223" width="15.85546875" style="1156" customWidth="1"/>
    <col min="9224" max="9224" width="14.7109375" style="1156" customWidth="1"/>
    <col min="9225" max="9225" width="16.42578125" style="1156" customWidth="1"/>
    <col min="9226" max="9230" width="11.42578125" style="1156"/>
    <col min="9231" max="9231" width="0" style="1156" hidden="1" customWidth="1"/>
    <col min="9232" max="9474" width="11.42578125" style="1156"/>
    <col min="9475" max="9475" width="15.28515625" style="1156" customWidth="1"/>
    <col min="9476" max="9476" width="11.85546875" style="1156" bestFit="1" customWidth="1"/>
    <col min="9477" max="9477" width="12.7109375" style="1156" customWidth="1"/>
    <col min="9478" max="9478" width="14" style="1156" bestFit="1" customWidth="1"/>
    <col min="9479" max="9479" width="15.85546875" style="1156" customWidth="1"/>
    <col min="9480" max="9480" width="14.7109375" style="1156" customWidth="1"/>
    <col min="9481" max="9481" width="16.42578125" style="1156" customWidth="1"/>
    <col min="9482" max="9486" width="11.42578125" style="1156"/>
    <col min="9487" max="9487" width="0" style="1156" hidden="1" customWidth="1"/>
    <col min="9488" max="9730" width="11.42578125" style="1156"/>
    <col min="9731" max="9731" width="15.28515625" style="1156" customWidth="1"/>
    <col min="9732" max="9732" width="11.85546875" style="1156" bestFit="1" customWidth="1"/>
    <col min="9733" max="9733" width="12.7109375" style="1156" customWidth="1"/>
    <col min="9734" max="9734" width="14" style="1156" bestFit="1" customWidth="1"/>
    <col min="9735" max="9735" width="15.85546875" style="1156" customWidth="1"/>
    <col min="9736" max="9736" width="14.7109375" style="1156" customWidth="1"/>
    <col min="9737" max="9737" width="16.42578125" style="1156" customWidth="1"/>
    <col min="9738" max="9742" width="11.42578125" style="1156"/>
    <col min="9743" max="9743" width="0" style="1156" hidden="1" customWidth="1"/>
    <col min="9744" max="9986" width="11.42578125" style="1156"/>
    <col min="9987" max="9987" width="15.28515625" style="1156" customWidth="1"/>
    <col min="9988" max="9988" width="11.85546875" style="1156" bestFit="1" customWidth="1"/>
    <col min="9989" max="9989" width="12.7109375" style="1156" customWidth="1"/>
    <col min="9990" max="9990" width="14" style="1156" bestFit="1" customWidth="1"/>
    <col min="9991" max="9991" width="15.85546875" style="1156" customWidth="1"/>
    <col min="9992" max="9992" width="14.7109375" style="1156" customWidth="1"/>
    <col min="9993" max="9993" width="16.42578125" style="1156" customWidth="1"/>
    <col min="9994" max="9998" width="11.42578125" style="1156"/>
    <col min="9999" max="9999" width="0" style="1156" hidden="1" customWidth="1"/>
    <col min="10000" max="10242" width="11.42578125" style="1156"/>
    <col min="10243" max="10243" width="15.28515625" style="1156" customWidth="1"/>
    <col min="10244" max="10244" width="11.85546875" style="1156" bestFit="1" customWidth="1"/>
    <col min="10245" max="10245" width="12.7109375" style="1156" customWidth="1"/>
    <col min="10246" max="10246" width="14" style="1156" bestFit="1" customWidth="1"/>
    <col min="10247" max="10247" width="15.85546875" style="1156" customWidth="1"/>
    <col min="10248" max="10248" width="14.7109375" style="1156" customWidth="1"/>
    <col min="10249" max="10249" width="16.42578125" style="1156" customWidth="1"/>
    <col min="10250" max="10254" width="11.42578125" style="1156"/>
    <col min="10255" max="10255" width="0" style="1156" hidden="1" customWidth="1"/>
    <col min="10256" max="10498" width="11.42578125" style="1156"/>
    <col min="10499" max="10499" width="15.28515625" style="1156" customWidth="1"/>
    <col min="10500" max="10500" width="11.85546875" style="1156" bestFit="1" customWidth="1"/>
    <col min="10501" max="10501" width="12.7109375" style="1156" customWidth="1"/>
    <col min="10502" max="10502" width="14" style="1156" bestFit="1" customWidth="1"/>
    <col min="10503" max="10503" width="15.85546875" style="1156" customWidth="1"/>
    <col min="10504" max="10504" width="14.7109375" style="1156" customWidth="1"/>
    <col min="10505" max="10505" width="16.42578125" style="1156" customWidth="1"/>
    <col min="10506" max="10510" width="11.42578125" style="1156"/>
    <col min="10511" max="10511" width="0" style="1156" hidden="1" customWidth="1"/>
    <col min="10512" max="10754" width="11.42578125" style="1156"/>
    <col min="10755" max="10755" width="15.28515625" style="1156" customWidth="1"/>
    <col min="10756" max="10756" width="11.85546875" style="1156" bestFit="1" customWidth="1"/>
    <col min="10757" max="10757" width="12.7109375" style="1156" customWidth="1"/>
    <col min="10758" max="10758" width="14" style="1156" bestFit="1" customWidth="1"/>
    <col min="10759" max="10759" width="15.85546875" style="1156" customWidth="1"/>
    <col min="10760" max="10760" width="14.7109375" style="1156" customWidth="1"/>
    <col min="10761" max="10761" width="16.42578125" style="1156" customWidth="1"/>
    <col min="10762" max="10766" width="11.42578125" style="1156"/>
    <col min="10767" max="10767" width="0" style="1156" hidden="1" customWidth="1"/>
    <col min="10768" max="11010" width="11.42578125" style="1156"/>
    <col min="11011" max="11011" width="15.28515625" style="1156" customWidth="1"/>
    <col min="11012" max="11012" width="11.85546875" style="1156" bestFit="1" customWidth="1"/>
    <col min="11013" max="11013" width="12.7109375" style="1156" customWidth="1"/>
    <col min="11014" max="11014" width="14" style="1156" bestFit="1" customWidth="1"/>
    <col min="11015" max="11015" width="15.85546875" style="1156" customWidth="1"/>
    <col min="11016" max="11016" width="14.7109375" style="1156" customWidth="1"/>
    <col min="11017" max="11017" width="16.42578125" style="1156" customWidth="1"/>
    <col min="11018" max="11022" width="11.42578125" style="1156"/>
    <col min="11023" max="11023" width="0" style="1156" hidden="1" customWidth="1"/>
    <col min="11024" max="11266" width="11.42578125" style="1156"/>
    <col min="11267" max="11267" width="15.28515625" style="1156" customWidth="1"/>
    <col min="11268" max="11268" width="11.85546875" style="1156" bestFit="1" customWidth="1"/>
    <col min="11269" max="11269" width="12.7109375" style="1156" customWidth="1"/>
    <col min="11270" max="11270" width="14" style="1156" bestFit="1" customWidth="1"/>
    <col min="11271" max="11271" width="15.85546875" style="1156" customWidth="1"/>
    <col min="11272" max="11272" width="14.7109375" style="1156" customWidth="1"/>
    <col min="11273" max="11273" width="16.42578125" style="1156" customWidth="1"/>
    <col min="11274" max="11278" width="11.42578125" style="1156"/>
    <col min="11279" max="11279" width="0" style="1156" hidden="1" customWidth="1"/>
    <col min="11280" max="11522" width="11.42578125" style="1156"/>
    <col min="11523" max="11523" width="15.28515625" style="1156" customWidth="1"/>
    <col min="11524" max="11524" width="11.85546875" style="1156" bestFit="1" customWidth="1"/>
    <col min="11525" max="11525" width="12.7109375" style="1156" customWidth="1"/>
    <col min="11526" max="11526" width="14" style="1156" bestFit="1" customWidth="1"/>
    <col min="11527" max="11527" width="15.85546875" style="1156" customWidth="1"/>
    <col min="11528" max="11528" width="14.7109375" style="1156" customWidth="1"/>
    <col min="11529" max="11529" width="16.42578125" style="1156" customWidth="1"/>
    <col min="11530" max="11534" width="11.42578125" style="1156"/>
    <col min="11535" max="11535" width="0" style="1156" hidden="1" customWidth="1"/>
    <col min="11536" max="11778" width="11.42578125" style="1156"/>
    <col min="11779" max="11779" width="15.28515625" style="1156" customWidth="1"/>
    <col min="11780" max="11780" width="11.85546875" style="1156" bestFit="1" customWidth="1"/>
    <col min="11781" max="11781" width="12.7109375" style="1156" customWidth="1"/>
    <col min="11782" max="11782" width="14" style="1156" bestFit="1" customWidth="1"/>
    <col min="11783" max="11783" width="15.85546875" style="1156" customWidth="1"/>
    <col min="11784" max="11784" width="14.7109375" style="1156" customWidth="1"/>
    <col min="11785" max="11785" width="16.42578125" style="1156" customWidth="1"/>
    <col min="11786" max="11790" width="11.42578125" style="1156"/>
    <col min="11791" max="11791" width="0" style="1156" hidden="1" customWidth="1"/>
    <col min="11792" max="12034" width="11.42578125" style="1156"/>
    <col min="12035" max="12035" width="15.28515625" style="1156" customWidth="1"/>
    <col min="12036" max="12036" width="11.85546875" style="1156" bestFit="1" customWidth="1"/>
    <col min="12037" max="12037" width="12.7109375" style="1156" customWidth="1"/>
    <col min="12038" max="12038" width="14" style="1156" bestFit="1" customWidth="1"/>
    <col min="12039" max="12039" width="15.85546875" style="1156" customWidth="1"/>
    <col min="12040" max="12040" width="14.7109375" style="1156" customWidth="1"/>
    <col min="12041" max="12041" width="16.42578125" style="1156" customWidth="1"/>
    <col min="12042" max="12046" width="11.42578125" style="1156"/>
    <col min="12047" max="12047" width="0" style="1156" hidden="1" customWidth="1"/>
    <col min="12048" max="12290" width="11.42578125" style="1156"/>
    <col min="12291" max="12291" width="15.28515625" style="1156" customWidth="1"/>
    <col min="12292" max="12292" width="11.85546875" style="1156" bestFit="1" customWidth="1"/>
    <col min="12293" max="12293" width="12.7109375" style="1156" customWidth="1"/>
    <col min="12294" max="12294" width="14" style="1156" bestFit="1" customWidth="1"/>
    <col min="12295" max="12295" width="15.85546875" style="1156" customWidth="1"/>
    <col min="12296" max="12296" width="14.7109375" style="1156" customWidth="1"/>
    <col min="12297" max="12297" width="16.42578125" style="1156" customWidth="1"/>
    <col min="12298" max="12302" width="11.42578125" style="1156"/>
    <col min="12303" max="12303" width="0" style="1156" hidden="1" customWidth="1"/>
    <col min="12304" max="12546" width="11.42578125" style="1156"/>
    <col min="12547" max="12547" width="15.28515625" style="1156" customWidth="1"/>
    <col min="12548" max="12548" width="11.85546875" style="1156" bestFit="1" customWidth="1"/>
    <col min="12549" max="12549" width="12.7109375" style="1156" customWidth="1"/>
    <col min="12550" max="12550" width="14" style="1156" bestFit="1" customWidth="1"/>
    <col min="12551" max="12551" width="15.85546875" style="1156" customWidth="1"/>
    <col min="12552" max="12552" width="14.7109375" style="1156" customWidth="1"/>
    <col min="12553" max="12553" width="16.42578125" style="1156" customWidth="1"/>
    <col min="12554" max="12558" width="11.42578125" style="1156"/>
    <col min="12559" max="12559" width="0" style="1156" hidden="1" customWidth="1"/>
    <col min="12560" max="12802" width="11.42578125" style="1156"/>
    <col min="12803" max="12803" width="15.28515625" style="1156" customWidth="1"/>
    <col min="12804" max="12804" width="11.85546875" style="1156" bestFit="1" customWidth="1"/>
    <col min="12805" max="12805" width="12.7109375" style="1156" customWidth="1"/>
    <col min="12806" max="12806" width="14" style="1156" bestFit="1" customWidth="1"/>
    <col min="12807" max="12807" width="15.85546875" style="1156" customWidth="1"/>
    <col min="12808" max="12808" width="14.7109375" style="1156" customWidth="1"/>
    <col min="12809" max="12809" width="16.42578125" style="1156" customWidth="1"/>
    <col min="12810" max="12814" width="11.42578125" style="1156"/>
    <col min="12815" max="12815" width="0" style="1156" hidden="1" customWidth="1"/>
    <col min="12816" max="13058" width="11.42578125" style="1156"/>
    <col min="13059" max="13059" width="15.28515625" style="1156" customWidth="1"/>
    <col min="13060" max="13060" width="11.85546875" style="1156" bestFit="1" customWidth="1"/>
    <col min="13061" max="13061" width="12.7109375" style="1156" customWidth="1"/>
    <col min="13062" max="13062" width="14" style="1156" bestFit="1" customWidth="1"/>
    <col min="13063" max="13063" width="15.85546875" style="1156" customWidth="1"/>
    <col min="13064" max="13064" width="14.7109375" style="1156" customWidth="1"/>
    <col min="13065" max="13065" width="16.42578125" style="1156" customWidth="1"/>
    <col min="13066" max="13070" width="11.42578125" style="1156"/>
    <col min="13071" max="13071" width="0" style="1156" hidden="1" customWidth="1"/>
    <col min="13072" max="13314" width="11.42578125" style="1156"/>
    <col min="13315" max="13315" width="15.28515625" style="1156" customWidth="1"/>
    <col min="13316" max="13316" width="11.85546875" style="1156" bestFit="1" customWidth="1"/>
    <col min="13317" max="13317" width="12.7109375" style="1156" customWidth="1"/>
    <col min="13318" max="13318" width="14" style="1156" bestFit="1" customWidth="1"/>
    <col min="13319" max="13319" width="15.85546875" style="1156" customWidth="1"/>
    <col min="13320" max="13320" width="14.7109375" style="1156" customWidth="1"/>
    <col min="13321" max="13321" width="16.42578125" style="1156" customWidth="1"/>
    <col min="13322" max="13326" width="11.42578125" style="1156"/>
    <col min="13327" max="13327" width="0" style="1156" hidden="1" customWidth="1"/>
    <col min="13328" max="13570" width="11.42578125" style="1156"/>
    <col min="13571" max="13571" width="15.28515625" style="1156" customWidth="1"/>
    <col min="13572" max="13572" width="11.85546875" style="1156" bestFit="1" customWidth="1"/>
    <col min="13573" max="13573" width="12.7109375" style="1156" customWidth="1"/>
    <col min="13574" max="13574" width="14" style="1156" bestFit="1" customWidth="1"/>
    <col min="13575" max="13575" width="15.85546875" style="1156" customWidth="1"/>
    <col min="13576" max="13576" width="14.7109375" style="1156" customWidth="1"/>
    <col min="13577" max="13577" width="16.42578125" style="1156" customWidth="1"/>
    <col min="13578" max="13582" width="11.42578125" style="1156"/>
    <col min="13583" max="13583" width="0" style="1156" hidden="1" customWidth="1"/>
    <col min="13584" max="13826" width="11.42578125" style="1156"/>
    <col min="13827" max="13827" width="15.28515625" style="1156" customWidth="1"/>
    <col min="13828" max="13828" width="11.85546875" style="1156" bestFit="1" customWidth="1"/>
    <col min="13829" max="13829" width="12.7109375" style="1156" customWidth="1"/>
    <col min="13830" max="13830" width="14" style="1156" bestFit="1" customWidth="1"/>
    <col min="13831" max="13831" width="15.85546875" style="1156" customWidth="1"/>
    <col min="13832" max="13832" width="14.7109375" style="1156" customWidth="1"/>
    <col min="13833" max="13833" width="16.42578125" style="1156" customWidth="1"/>
    <col min="13834" max="13838" width="11.42578125" style="1156"/>
    <col min="13839" max="13839" width="0" style="1156" hidden="1" customWidth="1"/>
    <col min="13840" max="14082" width="11.42578125" style="1156"/>
    <col min="14083" max="14083" width="15.28515625" style="1156" customWidth="1"/>
    <col min="14084" max="14084" width="11.85546875" style="1156" bestFit="1" customWidth="1"/>
    <col min="14085" max="14085" width="12.7109375" style="1156" customWidth="1"/>
    <col min="14086" max="14086" width="14" style="1156" bestFit="1" customWidth="1"/>
    <col min="14087" max="14087" width="15.85546875" style="1156" customWidth="1"/>
    <col min="14088" max="14088" width="14.7109375" style="1156" customWidth="1"/>
    <col min="14089" max="14089" width="16.42578125" style="1156" customWidth="1"/>
    <col min="14090" max="14094" width="11.42578125" style="1156"/>
    <col min="14095" max="14095" width="0" style="1156" hidden="1" customWidth="1"/>
    <col min="14096" max="14338" width="11.42578125" style="1156"/>
    <col min="14339" max="14339" width="15.28515625" style="1156" customWidth="1"/>
    <col min="14340" max="14340" width="11.85546875" style="1156" bestFit="1" customWidth="1"/>
    <col min="14341" max="14341" width="12.7109375" style="1156" customWidth="1"/>
    <col min="14342" max="14342" width="14" style="1156" bestFit="1" customWidth="1"/>
    <col min="14343" max="14343" width="15.85546875" style="1156" customWidth="1"/>
    <col min="14344" max="14344" width="14.7109375" style="1156" customWidth="1"/>
    <col min="14345" max="14345" width="16.42578125" style="1156" customWidth="1"/>
    <col min="14346" max="14350" width="11.42578125" style="1156"/>
    <col min="14351" max="14351" width="0" style="1156" hidden="1" customWidth="1"/>
    <col min="14352" max="14594" width="11.42578125" style="1156"/>
    <col min="14595" max="14595" width="15.28515625" style="1156" customWidth="1"/>
    <col min="14596" max="14596" width="11.85546875" style="1156" bestFit="1" customWidth="1"/>
    <col min="14597" max="14597" width="12.7109375" style="1156" customWidth="1"/>
    <col min="14598" max="14598" width="14" style="1156" bestFit="1" customWidth="1"/>
    <col min="14599" max="14599" width="15.85546875" style="1156" customWidth="1"/>
    <col min="14600" max="14600" width="14.7109375" style="1156" customWidth="1"/>
    <col min="14601" max="14601" width="16.42578125" style="1156" customWidth="1"/>
    <col min="14602" max="14606" width="11.42578125" style="1156"/>
    <col min="14607" max="14607" width="0" style="1156" hidden="1" customWidth="1"/>
    <col min="14608" max="14850" width="11.42578125" style="1156"/>
    <col min="14851" max="14851" width="15.28515625" style="1156" customWidth="1"/>
    <col min="14852" max="14852" width="11.85546875" style="1156" bestFit="1" customWidth="1"/>
    <col min="14853" max="14853" width="12.7109375" style="1156" customWidth="1"/>
    <col min="14854" max="14854" width="14" style="1156" bestFit="1" customWidth="1"/>
    <col min="14855" max="14855" width="15.85546875" style="1156" customWidth="1"/>
    <col min="14856" max="14856" width="14.7109375" style="1156" customWidth="1"/>
    <col min="14857" max="14857" width="16.42578125" style="1156" customWidth="1"/>
    <col min="14858" max="14862" width="11.42578125" style="1156"/>
    <col min="14863" max="14863" width="0" style="1156" hidden="1" customWidth="1"/>
    <col min="14864" max="15106" width="11.42578125" style="1156"/>
    <col min="15107" max="15107" width="15.28515625" style="1156" customWidth="1"/>
    <col min="15108" max="15108" width="11.85546875" style="1156" bestFit="1" customWidth="1"/>
    <col min="15109" max="15109" width="12.7109375" style="1156" customWidth="1"/>
    <col min="15110" max="15110" width="14" style="1156" bestFit="1" customWidth="1"/>
    <col min="15111" max="15111" width="15.85546875" style="1156" customWidth="1"/>
    <col min="15112" max="15112" width="14.7109375" style="1156" customWidth="1"/>
    <col min="15113" max="15113" width="16.42578125" style="1156" customWidth="1"/>
    <col min="15114" max="15118" width="11.42578125" style="1156"/>
    <col min="15119" max="15119" width="0" style="1156" hidden="1" customWidth="1"/>
    <col min="15120" max="15362" width="11.42578125" style="1156"/>
    <col min="15363" max="15363" width="15.28515625" style="1156" customWidth="1"/>
    <col min="15364" max="15364" width="11.85546875" style="1156" bestFit="1" customWidth="1"/>
    <col min="15365" max="15365" width="12.7109375" style="1156" customWidth="1"/>
    <col min="15366" max="15366" width="14" style="1156" bestFit="1" customWidth="1"/>
    <col min="15367" max="15367" width="15.85546875" style="1156" customWidth="1"/>
    <col min="15368" max="15368" width="14.7109375" style="1156" customWidth="1"/>
    <col min="15369" max="15369" width="16.42578125" style="1156" customWidth="1"/>
    <col min="15370" max="15374" width="11.42578125" style="1156"/>
    <col min="15375" max="15375" width="0" style="1156" hidden="1" customWidth="1"/>
    <col min="15376" max="15618" width="11.42578125" style="1156"/>
    <col min="15619" max="15619" width="15.28515625" style="1156" customWidth="1"/>
    <col min="15620" max="15620" width="11.85546875" style="1156" bestFit="1" customWidth="1"/>
    <col min="15621" max="15621" width="12.7109375" style="1156" customWidth="1"/>
    <col min="15622" max="15622" width="14" style="1156" bestFit="1" customWidth="1"/>
    <col min="15623" max="15623" width="15.85546875" style="1156" customWidth="1"/>
    <col min="15624" max="15624" width="14.7109375" style="1156" customWidth="1"/>
    <col min="15625" max="15625" width="16.42578125" style="1156" customWidth="1"/>
    <col min="15626" max="15630" width="11.42578125" style="1156"/>
    <col min="15631" max="15631" width="0" style="1156" hidden="1" customWidth="1"/>
    <col min="15632" max="15874" width="11.42578125" style="1156"/>
    <col min="15875" max="15875" width="15.28515625" style="1156" customWidth="1"/>
    <col min="15876" max="15876" width="11.85546875" style="1156" bestFit="1" customWidth="1"/>
    <col min="15877" max="15877" width="12.7109375" style="1156" customWidth="1"/>
    <col min="15878" max="15878" width="14" style="1156" bestFit="1" customWidth="1"/>
    <col min="15879" max="15879" width="15.85546875" style="1156" customWidth="1"/>
    <col min="15880" max="15880" width="14.7109375" style="1156" customWidth="1"/>
    <col min="15881" max="15881" width="16.42578125" style="1156" customWidth="1"/>
    <col min="15882" max="15886" width="11.42578125" style="1156"/>
    <col min="15887" max="15887" width="0" style="1156" hidden="1" customWidth="1"/>
    <col min="15888" max="16130" width="11.42578125" style="1156"/>
    <col min="16131" max="16131" width="15.28515625" style="1156" customWidth="1"/>
    <col min="16132" max="16132" width="11.85546875" style="1156" bestFit="1" customWidth="1"/>
    <col min="16133" max="16133" width="12.7109375" style="1156" customWidth="1"/>
    <col min="16134" max="16134" width="14" style="1156" bestFit="1" customWidth="1"/>
    <col min="16135" max="16135" width="15.85546875" style="1156" customWidth="1"/>
    <col min="16136" max="16136" width="14.7109375" style="1156" customWidth="1"/>
    <col min="16137" max="16137" width="16.42578125" style="1156" customWidth="1"/>
    <col min="16138" max="16142" width="11.42578125" style="1156"/>
    <col min="16143" max="16143" width="0" style="1156" hidden="1" customWidth="1"/>
    <col min="16144" max="16384" width="11.42578125" style="1156"/>
  </cols>
  <sheetData>
    <row r="1" spans="1:26" ht="21" customHeight="1" thickBot="1">
      <c r="A1" s="4510" t="str">
        <f>IF('Copy &amp; Paste'!B6="",(CONCATENATE('Copy &amp; Paste'!B5,", ",'Copy &amp; Paste'!B7,", ",'Copy &amp; Paste'!B8," ",'Copy &amp; Paste'!C8)),(CONCATENATE('Copy &amp; Paste'!B5,", - ",'Copy &amp; Paste'!B6,"- , ",'Copy &amp; Paste'!B7,", ",'Copy &amp; Paste'!B8," ",'Copy &amp; Paste'!C8)))</f>
        <v xml:space="preserve">, ,  </v>
      </c>
      <c r="B1" s="4511"/>
      <c r="C1" s="4511"/>
      <c r="D1" s="4511"/>
      <c r="E1" s="4511"/>
      <c r="F1" s="4511"/>
      <c r="G1" s="4512"/>
      <c r="H1" s="1152">
        <f>IK</f>
        <v>0</v>
      </c>
      <c r="I1" s="1153">
        <f>'Copy &amp; Paste'!H14</f>
        <v>0</v>
      </c>
      <c r="J1" s="3662"/>
      <c r="K1" s="1155"/>
      <c r="L1" s="1154"/>
      <c r="M1" s="1154"/>
      <c r="N1" s="1154"/>
      <c r="O1" s="1155"/>
      <c r="P1" s="1154"/>
      <c r="Q1" s="1154"/>
      <c r="R1" s="1154"/>
      <c r="S1" s="1154"/>
      <c r="T1" s="1154"/>
      <c r="U1" s="1154"/>
      <c r="V1" s="1154"/>
      <c r="W1" s="1154"/>
      <c r="X1" s="1154"/>
      <c r="Y1" s="1154"/>
      <c r="Z1" s="1154"/>
    </row>
    <row r="2" spans="1:26" ht="18.75">
      <c r="A2" s="4513" t="s">
        <v>1029</v>
      </c>
      <c r="B2" s="4514"/>
      <c r="C2" s="4514"/>
      <c r="D2" s="4514"/>
      <c r="E2" s="4514"/>
      <c r="F2" s="4514"/>
      <c r="G2" s="4514"/>
      <c r="H2" s="4514"/>
      <c r="I2" s="4515"/>
      <c r="J2" s="3662"/>
      <c r="K2" s="1155"/>
      <c r="L2" s="1154"/>
      <c r="M2" s="1154"/>
      <c r="N2" s="1154"/>
      <c r="O2" s="1154"/>
      <c r="P2" s="1154"/>
      <c r="Q2" s="1154"/>
      <c r="R2" s="1154"/>
      <c r="S2" s="1154"/>
      <c r="T2" s="1154"/>
      <c r="U2" s="1154"/>
      <c r="V2" s="1154"/>
      <c r="W2" s="1154"/>
      <c r="X2" s="1154"/>
      <c r="Y2" s="1154"/>
      <c r="Z2" s="1154"/>
    </row>
    <row r="3" spans="1:26" ht="19.5" thickBot="1">
      <c r="A3" s="1157"/>
      <c r="B3" s="1158" t="s">
        <v>795</v>
      </c>
      <c r="C3" s="1158" t="s">
        <v>1030</v>
      </c>
      <c r="D3" s="1159">
        <f>'Copy &amp; Paste'!G21</f>
        <v>45717</v>
      </c>
      <c r="E3" s="1158"/>
      <c r="F3" s="1159" t="s">
        <v>21</v>
      </c>
      <c r="G3" s="1159">
        <f>'Copy &amp; Paste'!G22</f>
        <v>46081</v>
      </c>
      <c r="H3" s="1158"/>
      <c r="I3" s="1160"/>
      <c r="J3" s="3662"/>
      <c r="K3" s="1155"/>
      <c r="L3" s="1154"/>
      <c r="M3" s="1154"/>
      <c r="N3" s="1154"/>
      <c r="O3" s="1154"/>
      <c r="P3" s="1154"/>
      <c r="Q3" s="1154"/>
      <c r="R3" s="1154"/>
      <c r="S3" s="1154"/>
      <c r="T3" s="1154"/>
      <c r="U3" s="1154"/>
      <c r="V3" s="1154"/>
      <c r="W3" s="1154"/>
      <c r="X3" s="1154"/>
      <c r="Y3" s="1154"/>
      <c r="Z3" s="1154"/>
    </row>
    <row r="4" spans="1:26" ht="12.75" customHeight="1">
      <c r="A4" s="1161"/>
      <c r="B4" s="464" t="str">
        <f>IF('Copy &amp; Paste'!$H$15="nein","Erklärung der Bewohnervertretung fehlt noch !!!","")</f>
        <v>Erklärung der Bewohnervertretung fehlt noch !!!</v>
      </c>
      <c r="C4" s="1162"/>
      <c r="D4" s="1163"/>
      <c r="E4" s="1162"/>
      <c r="F4" s="1163"/>
      <c r="G4" s="1163"/>
      <c r="H4" s="1162"/>
      <c r="I4" s="1164"/>
      <c r="J4" s="3662"/>
      <c r="K4" s="1154"/>
      <c r="L4" s="1154"/>
      <c r="M4" s="1154"/>
      <c r="N4" s="1154"/>
      <c r="O4" s="1154"/>
      <c r="P4" s="1154"/>
      <c r="Q4" s="1154"/>
      <c r="R4" s="1154"/>
      <c r="S4" s="1154"/>
      <c r="T4" s="1154"/>
      <c r="U4" s="1154"/>
      <c r="V4" s="1154"/>
      <c r="W4" s="1154"/>
      <c r="X4" s="1154"/>
      <c r="Y4" s="1154"/>
      <c r="Z4" s="1154"/>
    </row>
    <row r="5" spans="1:26" ht="12.75" customHeight="1" thickBot="1">
      <c r="A5" s="1165" t="s">
        <v>1031</v>
      </c>
      <c r="B5" s="1166"/>
      <c r="C5" s="1166"/>
      <c r="D5" s="1167"/>
      <c r="E5" s="1166"/>
      <c r="F5" s="1168" t="s">
        <v>1032</v>
      </c>
      <c r="G5" s="4516" t="str">
        <f>IF(F5="Variante 1","    Pauschalerhöhung des EEE !",IF(F5="Variante 2","    Pauschalerhöhung des zuletzt verhandelten Budgets !",IF(F5="Variante 3","    Pauschalerhöhung der zuletzt verhandelten Pflegesätze !")))</f>
        <v xml:space="preserve">    Pauschalerhöhung des zuletzt verhandelten Budgets !</v>
      </c>
      <c r="H5" s="4516"/>
      <c r="I5" s="4517"/>
      <c r="J5" s="3662"/>
      <c r="K5" s="1154"/>
      <c r="L5" s="1154"/>
      <c r="M5" s="1154"/>
      <c r="N5" s="1154"/>
      <c r="O5" s="1154"/>
      <c r="P5" s="1154"/>
      <c r="Q5" s="1154"/>
      <c r="R5" s="1154"/>
      <c r="S5" s="1154"/>
      <c r="T5" s="1154"/>
      <c r="U5" s="1154"/>
      <c r="V5" s="1154"/>
      <c r="W5" s="1154"/>
      <c r="X5" s="1154"/>
      <c r="Y5" s="1154"/>
      <c r="Z5" s="1154"/>
    </row>
    <row r="6" spans="1:26" ht="12.75" customHeight="1">
      <c r="A6" s="1169"/>
      <c r="B6" s="1166"/>
      <c r="C6" s="1166"/>
      <c r="D6" s="1167"/>
      <c r="E6" s="1166"/>
      <c r="F6" s="1170"/>
      <c r="G6" s="1167"/>
      <c r="H6" s="1171"/>
      <c r="I6" s="1172"/>
      <c r="J6" s="3664" t="s">
        <v>2287</v>
      </c>
      <c r="K6" s="1154"/>
      <c r="L6" s="1154"/>
      <c r="M6" s="1154"/>
      <c r="N6" s="1154"/>
      <c r="O6" s="1154"/>
      <c r="P6" s="1154"/>
      <c r="Q6" s="1154"/>
      <c r="R6" s="1154"/>
      <c r="S6" s="1154"/>
      <c r="T6" s="1154"/>
      <c r="U6" s="1154"/>
      <c r="V6" s="1154"/>
      <c r="W6" s="1154"/>
      <c r="X6" s="1154"/>
      <c r="Y6" s="1154"/>
      <c r="Z6" s="1154"/>
    </row>
    <row r="7" spans="1:26" ht="12.75" customHeight="1" thickBot="1">
      <c r="A7" s="1169"/>
      <c r="B7" s="1166"/>
      <c r="C7" s="1166"/>
      <c r="D7" s="1167"/>
      <c r="E7" s="1166"/>
      <c r="F7" s="1170"/>
      <c r="G7" s="1167"/>
      <c r="H7" s="1171"/>
      <c r="I7" s="1172"/>
      <c r="J7" s="3665">
        <f>IF(G3&gt;DATE(2024,12,31),DATE(2025,1,1),"")</f>
        <v>45658</v>
      </c>
      <c r="K7" s="1154"/>
      <c r="L7" s="1154"/>
      <c r="M7" s="1154"/>
      <c r="N7" s="1154"/>
      <c r="O7" s="1154"/>
      <c r="P7" s="1154"/>
      <c r="Q7" s="1154"/>
      <c r="R7" s="1154"/>
      <c r="S7" s="1154"/>
      <c r="T7" s="1154"/>
      <c r="U7" s="1154"/>
      <c r="V7" s="1154"/>
      <c r="W7" s="1154"/>
      <c r="X7" s="1154"/>
      <c r="Y7" s="1154"/>
      <c r="Z7" s="1154"/>
    </row>
    <row r="8" spans="1:26" ht="12.75" customHeight="1" thickBot="1">
      <c r="A8" s="1173" t="s">
        <v>1033</v>
      </c>
      <c r="B8" s="1166"/>
      <c r="C8" s="1166"/>
      <c r="D8" s="1174"/>
      <c r="E8" s="1166"/>
      <c r="F8" s="1166"/>
      <c r="G8" s="1166"/>
      <c r="H8" s="1166"/>
      <c r="I8" s="1172"/>
      <c r="K8" s="1154"/>
      <c r="L8" s="1154"/>
      <c r="M8" s="1154"/>
      <c r="N8" s="1154"/>
      <c r="O8" s="1154"/>
      <c r="P8" s="1154"/>
      <c r="Q8" s="1154"/>
      <c r="R8" s="1154"/>
      <c r="S8" s="1154"/>
      <c r="T8" s="1154"/>
      <c r="U8" s="1154"/>
      <c r="V8" s="1154"/>
      <c r="W8" s="1154"/>
      <c r="X8" s="1154"/>
      <c r="Y8" s="1154"/>
      <c r="Z8" s="1154"/>
    </row>
    <row r="9" spans="1:26" ht="12.75" customHeight="1">
      <c r="A9" s="1173"/>
      <c r="B9" s="1166"/>
      <c r="C9" s="1166"/>
      <c r="D9" s="1175"/>
      <c r="E9" s="1175"/>
      <c r="F9" s="1176" t="s">
        <v>1034</v>
      </c>
      <c r="G9" s="1166"/>
      <c r="H9" s="1166"/>
      <c r="I9" s="1177">
        <f>IF(F5="Variante 2",(D8*(1+I1))+B33+C41,"")</f>
        <v>0</v>
      </c>
      <c r="J9" s="3666">
        <f>I9</f>
        <v>0</v>
      </c>
      <c r="K9" s="1154"/>
      <c r="L9" s="1154"/>
      <c r="M9" s="1154"/>
      <c r="N9" s="1154"/>
      <c r="O9" s="1154"/>
      <c r="P9" s="1154"/>
      <c r="Q9" s="1154"/>
      <c r="R9" s="1154"/>
      <c r="S9" s="1154"/>
      <c r="T9" s="1154"/>
      <c r="U9" s="1154"/>
      <c r="V9" s="1154"/>
      <c r="W9" s="1154"/>
      <c r="X9" s="1154"/>
      <c r="Y9" s="1154"/>
      <c r="Z9" s="1154"/>
    </row>
    <row r="10" spans="1:26" ht="12.75" customHeight="1">
      <c r="A10" s="1173" t="s">
        <v>985</v>
      </c>
      <c r="B10" s="1166"/>
      <c r="C10" s="1166"/>
      <c r="D10" s="1174"/>
      <c r="E10" s="1175"/>
      <c r="F10" s="1176" t="s">
        <v>985</v>
      </c>
      <c r="G10" s="1166"/>
      <c r="H10" s="1166"/>
      <c r="I10" s="1177">
        <f>D10</f>
        <v>0</v>
      </c>
      <c r="J10" s="3730" t="e">
        <f>(Protokoll!C14*805)+(Protokoll!D14*1319)+(Protokoll!E14*1855)+(Protokoll!F14*2096)</f>
        <v>#VALUE!</v>
      </c>
      <c r="K10" s="1154"/>
      <c r="L10" s="1154"/>
      <c r="M10" s="1154"/>
      <c r="N10" s="1154"/>
      <c r="O10" s="1154"/>
      <c r="P10" s="1154"/>
      <c r="Q10" s="1154"/>
      <c r="R10" s="1154"/>
      <c r="S10" s="1154"/>
      <c r="T10" s="1154"/>
      <c r="U10" s="1154"/>
      <c r="V10" s="1154"/>
      <c r="W10" s="1154"/>
      <c r="X10" s="1154"/>
      <c r="Y10" s="1154"/>
      <c r="Z10" s="1154"/>
    </row>
    <row r="11" spans="1:26" ht="12.75" customHeight="1" thickBot="1">
      <c r="A11" s="1173" t="s">
        <v>222</v>
      </c>
      <c r="B11" s="1166"/>
      <c r="C11" s="1166"/>
      <c r="D11" s="1178">
        <f>D8-D10</f>
        <v>0</v>
      </c>
      <c r="E11" s="1175"/>
      <c r="F11" s="1176" t="s">
        <v>222</v>
      </c>
      <c r="G11" s="1166"/>
      <c r="H11" s="1166"/>
      <c r="I11" s="1179">
        <f>I9-I10</f>
        <v>0</v>
      </c>
      <c r="J11" s="3667" t="e">
        <f>J9-J10</f>
        <v>#VALUE!</v>
      </c>
      <c r="K11" s="1154"/>
      <c r="L11" s="1154"/>
      <c r="M11" s="1154"/>
      <c r="N11" s="1154"/>
      <c r="O11" s="1154"/>
      <c r="P11" s="1154"/>
      <c r="Q11" s="1154"/>
      <c r="R11" s="1154"/>
      <c r="S11" s="1154"/>
      <c r="T11" s="1154"/>
      <c r="U11" s="1154"/>
      <c r="V11" s="1154"/>
      <c r="W11" s="1154"/>
      <c r="X11" s="1154"/>
      <c r="Y11" s="1154"/>
      <c r="Z11" s="1154"/>
    </row>
    <row r="12" spans="1:26" ht="12.75" customHeight="1" thickTop="1">
      <c r="A12" s="1173" t="s">
        <v>986</v>
      </c>
      <c r="B12" s="1166"/>
      <c r="C12" s="1166"/>
      <c r="D12" s="1180"/>
      <c r="E12" s="1181"/>
      <c r="F12" s="1176" t="s">
        <v>986</v>
      </c>
      <c r="G12" s="1166"/>
      <c r="H12" s="1166"/>
      <c r="I12" s="1182">
        <f>D12</f>
        <v>0</v>
      </c>
      <c r="J12" s="3668">
        <f>I12</f>
        <v>0</v>
      </c>
      <c r="K12" s="1154"/>
      <c r="L12" s="1154"/>
      <c r="M12" s="1154"/>
      <c r="N12" s="1154"/>
      <c r="O12" s="1154"/>
      <c r="P12" s="1154"/>
      <c r="Q12" s="1154"/>
      <c r="R12" s="1154"/>
      <c r="S12" s="1154"/>
      <c r="T12" s="1154"/>
      <c r="U12" s="1154"/>
      <c r="V12" s="1154"/>
      <c r="W12" s="1154"/>
      <c r="X12" s="1154"/>
      <c r="Y12" s="1154"/>
      <c r="Z12" s="1154"/>
    </row>
    <row r="13" spans="1:26" ht="12.75" customHeight="1">
      <c r="A13" s="1173" t="s">
        <v>1035</v>
      </c>
      <c r="B13" s="1166"/>
      <c r="C13" s="1166"/>
      <c r="D13" s="1183" t="e">
        <f>(D8-D10)/D12</f>
        <v>#DIV/0!</v>
      </c>
      <c r="E13" s="1183"/>
      <c r="F13" s="1176" t="s">
        <v>1036</v>
      </c>
      <c r="G13" s="1166"/>
      <c r="H13" s="1166"/>
      <c r="I13" s="1184" t="e">
        <f>IF(F5="Variante 1",D14*(1+I1),I11/I12)</f>
        <v>#DIV/0!</v>
      </c>
      <c r="J13" s="3731" t="e">
        <f>J11/J12</f>
        <v>#VALUE!</v>
      </c>
      <c r="K13" s="1154"/>
      <c r="L13" s="1154"/>
      <c r="M13" s="1154"/>
      <c r="N13" s="1154"/>
      <c r="O13" s="1154"/>
      <c r="P13" s="1154"/>
      <c r="Q13" s="1154"/>
      <c r="R13" s="1154"/>
      <c r="S13" s="1154"/>
      <c r="T13" s="1154"/>
      <c r="U13" s="1154"/>
      <c r="V13" s="1154"/>
      <c r="W13" s="1154"/>
      <c r="X13" s="1154"/>
      <c r="Y13" s="1154"/>
      <c r="Z13" s="1154"/>
    </row>
    <row r="14" spans="1:26" ht="12.75" customHeight="1" thickBot="1">
      <c r="A14" s="1173"/>
      <c r="B14" s="1166"/>
      <c r="C14" s="1166"/>
      <c r="D14" s="1175"/>
      <c r="E14" s="1175"/>
      <c r="F14" s="1185" t="s">
        <v>1037</v>
      </c>
      <c r="G14" s="1166"/>
      <c r="H14" s="1166"/>
      <c r="I14" s="1186" t="e">
        <f>I13/30.42</f>
        <v>#DIV/0!</v>
      </c>
      <c r="J14" s="3669" t="e">
        <f>J13/30.42</f>
        <v>#VALUE!</v>
      </c>
      <c r="K14" s="1154"/>
      <c r="L14" s="1154"/>
      <c r="M14" s="1154"/>
      <c r="N14" s="1154"/>
      <c r="O14" s="1154"/>
      <c r="P14" s="1154"/>
      <c r="Q14" s="1154"/>
      <c r="R14" s="1154"/>
      <c r="S14" s="1154"/>
      <c r="T14" s="1154"/>
      <c r="U14" s="1154"/>
      <c r="V14" s="1154"/>
      <c r="W14" s="1154"/>
      <c r="X14" s="1154"/>
      <c r="Y14" s="1154"/>
      <c r="Z14" s="1154"/>
    </row>
    <row r="15" spans="1:26" ht="12.75" customHeight="1">
      <c r="A15" s="1173"/>
      <c r="B15" s="1166"/>
      <c r="C15" s="1166"/>
      <c r="D15" s="1166"/>
      <c r="E15" s="1166"/>
      <c r="F15" s="1187" t="s">
        <v>1038</v>
      </c>
      <c r="G15" s="1166"/>
      <c r="H15" s="1166"/>
      <c r="I15" s="1188" t="e">
        <f>(I13-D13)/D13</f>
        <v>#DIV/0!</v>
      </c>
      <c r="J15" s="3662"/>
      <c r="K15" s="1154"/>
      <c r="L15" s="1154"/>
      <c r="M15" s="1154"/>
      <c r="N15" s="1154"/>
      <c r="O15" s="1154"/>
      <c r="P15" s="1154"/>
      <c r="Q15" s="1154"/>
      <c r="R15" s="1154"/>
      <c r="S15" s="1154"/>
      <c r="T15" s="1154"/>
      <c r="U15" s="1154"/>
      <c r="V15" s="1154"/>
      <c r="W15" s="1154"/>
      <c r="X15" s="1154"/>
      <c r="Y15" s="1154"/>
      <c r="Z15" s="1154"/>
    </row>
    <row r="16" spans="1:26" ht="12.75" customHeight="1">
      <c r="A16" s="1189"/>
      <c r="B16" s="1166"/>
      <c r="C16" s="1166"/>
      <c r="D16" s="1166"/>
      <c r="E16" s="1166"/>
      <c r="F16" s="1185" t="s">
        <v>1039</v>
      </c>
      <c r="G16" s="1166"/>
      <c r="H16" s="1166"/>
      <c r="I16" s="1190" t="e">
        <f>($D$26-$D$25)/$D$25</f>
        <v>#DIV/0!</v>
      </c>
      <c r="J16" s="3662"/>
      <c r="K16" s="1154"/>
      <c r="L16" s="1154"/>
      <c r="M16" s="1154"/>
      <c r="N16" s="1154"/>
      <c r="O16" s="1154"/>
      <c r="P16" s="1154"/>
      <c r="Q16" s="1154"/>
      <c r="R16" s="1154"/>
      <c r="S16" s="1154"/>
      <c r="T16" s="1154"/>
      <c r="U16" s="1154"/>
      <c r="V16" s="1154"/>
      <c r="W16" s="1154"/>
      <c r="X16" s="1154"/>
      <c r="Y16" s="1154"/>
      <c r="Z16" s="1154"/>
    </row>
    <row r="17" spans="1:26" ht="12.75" customHeight="1">
      <c r="A17" s="1191" t="e">
        <f>IF(C19&lt;&gt;'Copy &amp; Paste'!F23,"Abweichung Pflegesatz PG 1 letztes Ergebnis (vgl. Copy &amp; Paste F23) mit Berechnung Zelle C19, ggf. ändern!","")</f>
        <v>#DIV/0!</v>
      </c>
      <c r="B17" s="1192"/>
      <c r="C17" s="1193"/>
      <c r="D17" s="1193"/>
      <c r="E17" s="1193"/>
      <c r="F17" s="1193"/>
      <c r="G17" s="1194"/>
      <c r="H17" s="1195"/>
      <c r="I17" s="1196"/>
      <c r="J17" s="3662"/>
      <c r="K17" s="1197"/>
      <c r="L17" s="1198"/>
      <c r="M17" s="1154"/>
      <c r="N17" s="1154"/>
      <c r="O17" s="1154"/>
      <c r="P17" s="1154"/>
      <c r="Q17" s="1154"/>
      <c r="R17" s="1154"/>
      <c r="S17" s="1154"/>
      <c r="T17" s="1154"/>
      <c r="U17" s="1154"/>
      <c r="V17" s="1154"/>
      <c r="W17" s="1154"/>
      <c r="X17" s="1154"/>
      <c r="Y17" s="1154"/>
      <c r="Z17" s="1154"/>
    </row>
    <row r="18" spans="1:26" ht="13.5" thickBot="1">
      <c r="A18" s="1199"/>
      <c r="B18" s="1200" t="s">
        <v>1040</v>
      </c>
      <c r="C18" s="1200" t="s">
        <v>1041</v>
      </c>
      <c r="D18" s="1201" t="s">
        <v>1507</v>
      </c>
      <c r="E18" s="1202"/>
      <c r="F18" s="1203" t="s">
        <v>1373</v>
      </c>
      <c r="G18" s="1204"/>
      <c r="H18" s="1205" t="s">
        <v>1042</v>
      </c>
      <c r="I18" s="1206">
        <f>D3</f>
        <v>45717</v>
      </c>
      <c r="J18" s="3662"/>
      <c r="K18" s="1154"/>
      <c r="L18" s="1197"/>
      <c r="M18" s="1154"/>
      <c r="N18" s="1154"/>
      <c r="O18" s="1154"/>
      <c r="P18" s="1154"/>
      <c r="Q18" s="1154"/>
      <c r="R18" s="1154"/>
      <c r="S18" s="1154"/>
      <c r="T18" s="1154"/>
      <c r="U18" s="1154"/>
      <c r="V18" s="1154"/>
      <c r="W18" s="1154"/>
      <c r="X18" s="1154"/>
      <c r="Y18" s="1154"/>
      <c r="Z18" s="1154"/>
    </row>
    <row r="19" spans="1:26">
      <c r="A19" s="1199" t="s">
        <v>811</v>
      </c>
      <c r="B19" s="1207">
        <f>Belegung!F31</f>
        <v>0</v>
      </c>
      <c r="C19" s="1208" t="e">
        <f>(C20*0.78)</f>
        <v>#DIV/0!</v>
      </c>
      <c r="D19" s="1209">
        <v>0</v>
      </c>
      <c r="E19" s="1210"/>
      <c r="F19" s="1211" t="e">
        <f>B19*H19</f>
        <v>#DIV/0!</v>
      </c>
      <c r="G19" s="1212"/>
      <c r="H19" s="1213" t="e">
        <f>(H20*0.78)</f>
        <v>#DIV/0!</v>
      </c>
      <c r="I19" s="1214"/>
      <c r="J19" s="3670" t="e">
        <f>J20*0.78</f>
        <v>#VALUE!</v>
      </c>
      <c r="K19" s="1154"/>
      <c r="L19" s="1154"/>
      <c r="M19" s="1154"/>
      <c r="N19" s="1154"/>
      <c r="O19" s="1154"/>
      <c r="P19" s="1154"/>
      <c r="Q19" s="1154"/>
      <c r="R19" s="1154"/>
      <c r="S19" s="1154"/>
      <c r="T19" s="1154"/>
      <c r="U19" s="1154"/>
      <c r="V19" s="1154"/>
      <c r="W19" s="1154"/>
      <c r="X19" s="1154"/>
      <c r="Y19" s="1154"/>
      <c r="Z19" s="1154"/>
    </row>
    <row r="20" spans="1:26">
      <c r="A20" s="1199" t="s">
        <v>812</v>
      </c>
      <c r="B20" s="1215">
        <f>Belegung!F32</f>
        <v>0</v>
      </c>
      <c r="C20" s="1216" t="e">
        <f>(770+D13)/30.42</f>
        <v>#DIV/0!</v>
      </c>
      <c r="D20" s="1209" t="e">
        <f t="shared" ref="D20:D23" si="0">B20*C20</f>
        <v>#DIV/0!</v>
      </c>
      <c r="E20" s="1210"/>
      <c r="F20" s="1217"/>
      <c r="G20" s="1212"/>
      <c r="H20" s="1213" t="e">
        <f>((IF(D3&lt;DATE(2025,1,1),770,805)+I13)/30.42)</f>
        <v>#DIV/0!</v>
      </c>
      <c r="I20" s="1214"/>
      <c r="J20" s="3671" t="e">
        <f>(805+J13)/30.42</f>
        <v>#VALUE!</v>
      </c>
      <c r="K20" s="1154"/>
      <c r="L20" s="1154"/>
      <c r="M20" s="1154"/>
      <c r="N20" s="1154"/>
      <c r="O20" s="1154"/>
      <c r="P20" s="1154"/>
      <c r="Q20" s="1154"/>
      <c r="R20" s="1154"/>
      <c r="S20" s="1154"/>
      <c r="T20" s="1154"/>
      <c r="U20" s="1154"/>
      <c r="V20" s="1154"/>
      <c r="W20" s="1154"/>
      <c r="X20" s="1154"/>
      <c r="Y20" s="1154"/>
      <c r="Z20" s="1154"/>
    </row>
    <row r="21" spans="1:26">
      <c r="A21" s="1199" t="s">
        <v>813</v>
      </c>
      <c r="B21" s="1215">
        <f>Belegung!F33</f>
        <v>0</v>
      </c>
      <c r="C21" s="1208" t="e">
        <f>(D13+1262)/30.42</f>
        <v>#DIV/0!</v>
      </c>
      <c r="D21" s="1209" t="e">
        <f t="shared" si="0"/>
        <v>#DIV/0!</v>
      </c>
      <c r="E21" s="1210"/>
      <c r="F21" s="1217"/>
      <c r="G21" s="1212"/>
      <c r="H21" s="1213" t="e">
        <f>((IF(D3&lt;DATE(2025,1,1),1262,1319)+I13)/30.42)</f>
        <v>#DIV/0!</v>
      </c>
      <c r="I21" s="1214"/>
      <c r="J21" s="3671" t="e">
        <f>(1319+J13)/30.42</f>
        <v>#VALUE!</v>
      </c>
      <c r="K21" s="1154"/>
      <c r="L21" s="1154"/>
      <c r="M21" s="1154"/>
      <c r="N21" s="1154"/>
      <c r="O21" s="1154"/>
      <c r="P21" s="1154"/>
      <c r="Q21" s="1154"/>
      <c r="R21" s="1154"/>
      <c r="S21" s="1154"/>
      <c r="T21" s="1154"/>
      <c r="U21" s="1154"/>
      <c r="V21" s="1154"/>
      <c r="W21" s="1154"/>
      <c r="X21" s="1154"/>
      <c r="Y21" s="1154"/>
      <c r="Z21" s="1154"/>
    </row>
    <row r="22" spans="1:26">
      <c r="A22" s="1199" t="s">
        <v>814</v>
      </c>
      <c r="B22" s="1215">
        <f>Belegung!F34</f>
        <v>0</v>
      </c>
      <c r="C22" s="1208" t="e">
        <f>(D13+1775)/30.42</f>
        <v>#DIV/0!</v>
      </c>
      <c r="D22" s="1209" t="e">
        <f t="shared" si="0"/>
        <v>#DIV/0!</v>
      </c>
      <c r="E22" s="1210"/>
      <c r="F22" s="1217"/>
      <c r="G22" s="1212"/>
      <c r="H22" s="1213" t="e">
        <f>((IF(D3&lt;DATE(2025,1,1),1775,1855)+I13)/30.42)</f>
        <v>#DIV/0!</v>
      </c>
      <c r="I22" s="1214"/>
      <c r="J22" s="3671" t="e">
        <f>(1855+J13)/30.42</f>
        <v>#VALUE!</v>
      </c>
      <c r="K22" s="1154"/>
      <c r="L22" s="1154"/>
      <c r="M22" s="1154"/>
      <c r="N22" s="1154"/>
      <c r="O22" s="1154"/>
      <c r="P22" s="1154"/>
      <c r="Q22" s="1154"/>
      <c r="R22" s="1154"/>
      <c r="S22" s="1154"/>
      <c r="T22" s="1154"/>
      <c r="U22" s="1154"/>
      <c r="V22" s="1154"/>
      <c r="W22" s="1154"/>
      <c r="X22" s="1154"/>
      <c r="Y22" s="1154"/>
      <c r="Z22" s="1154"/>
    </row>
    <row r="23" spans="1:26" ht="13.5" thickBot="1">
      <c r="A23" s="1199" t="s">
        <v>815</v>
      </c>
      <c r="B23" s="1215">
        <f>Belegung!F35</f>
        <v>0</v>
      </c>
      <c r="C23" s="1208" t="e">
        <f>(D13+2005)/30.42</f>
        <v>#DIV/0!</v>
      </c>
      <c r="D23" s="1209" t="e">
        <f t="shared" si="0"/>
        <v>#DIV/0!</v>
      </c>
      <c r="E23" s="1210"/>
      <c r="F23" s="1217"/>
      <c r="G23" s="1218"/>
      <c r="H23" s="1213" t="e">
        <f>((IF(D3&lt;DATE(2025,1,1),2005,2095)+I13)/30.42)</f>
        <v>#DIV/0!</v>
      </c>
      <c r="I23" s="1214"/>
      <c r="J23" s="3672" t="e">
        <f>(2096+J13)/30.42</f>
        <v>#VALUE!</v>
      </c>
      <c r="K23" s="1154"/>
      <c r="L23" s="1154"/>
      <c r="M23" s="1154"/>
      <c r="N23" s="1154"/>
      <c r="O23" s="1154"/>
      <c r="P23" s="1154"/>
      <c r="Q23" s="1154"/>
      <c r="R23" s="1154"/>
      <c r="S23" s="1154"/>
      <c r="T23" s="1154"/>
      <c r="U23" s="1154"/>
      <c r="V23" s="1154"/>
      <c r="W23" s="1154"/>
      <c r="X23" s="1154"/>
      <c r="Y23" s="1154"/>
      <c r="Z23" s="1154"/>
    </row>
    <row r="24" spans="1:26" ht="13.5">
      <c r="A24" s="1219" t="s">
        <v>1043</v>
      </c>
      <c r="B24" s="1220">
        <f>SUM(B19:B23)</f>
        <v>0</v>
      </c>
      <c r="C24" s="1221"/>
      <c r="D24" s="1222">
        <f>(B24-B19)*B25</f>
        <v>0</v>
      </c>
      <c r="E24" s="1223"/>
      <c r="F24" s="4523" t="s">
        <v>1508</v>
      </c>
      <c r="G24" s="4524"/>
      <c r="H24" s="3729" t="e">
        <f>(B25*(1+$I$1))+C34</f>
        <v>#DIV/0!</v>
      </c>
      <c r="I24" s="1224" t="s">
        <v>1509</v>
      </c>
      <c r="J24" s="3663" t="e">
        <f>IF(H24&lt;&gt;H74,"Abweichung zu Zelle H70! Ggf. dort korrigieren, sonst falsche Berechnung Basiswert UuV !","")</f>
        <v>#DIV/0!</v>
      </c>
      <c r="K24" s="1154"/>
      <c r="L24" s="1154"/>
      <c r="M24" s="1154"/>
      <c r="N24" s="1154"/>
      <c r="O24" s="1154"/>
      <c r="P24" s="1154"/>
      <c r="Q24" s="1154"/>
      <c r="R24" s="1154"/>
      <c r="S24" s="1154"/>
      <c r="T24" s="1154"/>
      <c r="U24" s="1154"/>
      <c r="V24" s="1154"/>
      <c r="W24" s="1154"/>
      <c r="X24" s="1154"/>
      <c r="Y24" s="1154"/>
      <c r="Z24" s="1154"/>
    </row>
    <row r="25" spans="1:26" ht="14.25" thickBot="1">
      <c r="A25" s="1226" t="s">
        <v>1510</v>
      </c>
      <c r="B25" s="1227">
        <f>'Copy &amp; Paste'!F29+'Copy &amp; Paste'!F30</f>
        <v>0</v>
      </c>
      <c r="C25" s="1228" t="s">
        <v>1221</v>
      </c>
      <c r="D25" s="1229" t="e">
        <f>SUM(D19:D24)</f>
        <v>#DIV/0!</v>
      </c>
      <c r="E25" s="1210"/>
      <c r="F25" s="1230" t="e">
        <f>SUMPRODUCT(B19:B23,C19:C23)+(B24*IF(ISNUMBER(B26),B26,B25))</f>
        <v>#DIV/0!</v>
      </c>
      <c r="G25" s="1231" t="s">
        <v>1511</v>
      </c>
      <c r="H25" s="1232" t="e">
        <f>H24*0.565</f>
        <v>#DIV/0!</v>
      </c>
      <c r="I25" s="1233" t="s">
        <v>238</v>
      </c>
      <c r="J25" s="3662"/>
      <c r="K25" s="1154"/>
      <c r="L25" s="1154"/>
      <c r="M25" s="1154"/>
      <c r="N25" s="1154"/>
      <c r="O25" s="1154"/>
      <c r="P25" s="1154"/>
      <c r="Q25" s="1154"/>
      <c r="R25" s="1154"/>
      <c r="S25" s="1154"/>
      <c r="T25" s="1154"/>
      <c r="U25" s="1154"/>
      <c r="V25" s="1154"/>
      <c r="W25" s="1154"/>
      <c r="X25" s="1154"/>
      <c r="Y25" s="1154"/>
      <c r="Z25" s="1154"/>
    </row>
    <row r="26" spans="1:26" ht="13.5">
      <c r="A26" s="1234" t="s">
        <v>1512</v>
      </c>
      <c r="B26" s="1235" t="str">
        <f>IF(AND('Copy &amp; Paste'!B14="ja",'Copy &amp; Paste'!F28&gt;0),'Copy &amp; Paste'!F28,"")</f>
        <v/>
      </c>
      <c r="C26" s="1236" t="s">
        <v>1044</v>
      </c>
      <c r="D26" s="1237" t="e">
        <f>SUMPRODUCT(B20:B23,H20:H23)+((B24-B19)*H24)</f>
        <v>#DIV/0!</v>
      </c>
      <c r="E26" s="1210"/>
      <c r="F26" s="1238" t="e">
        <f>SUMPRODUCT(B19:B23,H19:H23)+(B24*IF(ISNUMBER(H28),H28,H24))</f>
        <v>#DIV/0!</v>
      </c>
      <c r="G26" s="1239" t="s">
        <v>1513</v>
      </c>
      <c r="H26" s="1232" t="e">
        <f>H24-H25</f>
        <v>#DIV/0!</v>
      </c>
      <c r="I26" s="1240" t="s">
        <v>239</v>
      </c>
      <c r="J26" s="3662"/>
      <c r="K26" s="1154"/>
      <c r="L26" s="1154"/>
      <c r="M26" s="1154"/>
      <c r="N26" s="1154"/>
      <c r="O26" s="1154"/>
      <c r="P26" s="1154"/>
      <c r="Q26" s="1154"/>
      <c r="R26" s="1154"/>
      <c r="S26" s="1154"/>
      <c r="T26" s="1154"/>
      <c r="U26" s="1154"/>
      <c r="V26" s="1154"/>
      <c r="W26" s="1154"/>
      <c r="X26" s="1154"/>
      <c r="Y26" s="1154"/>
      <c r="Z26" s="1154"/>
    </row>
    <row r="27" spans="1:26" ht="14.25" thickBot="1">
      <c r="A27" s="1241"/>
      <c r="B27" s="1194"/>
      <c r="C27" s="1194"/>
      <c r="D27" s="1194"/>
      <c r="E27" s="1194"/>
      <c r="F27" s="1242" t="e">
        <f>(F26/F25)-1</f>
        <v>#DIV/0!</v>
      </c>
      <c r="G27" s="1243"/>
      <c r="H27" s="1244" t="e">
        <f>H26/3*2</f>
        <v>#DIV/0!</v>
      </c>
      <c r="I27" s="1245" t="s">
        <v>1514</v>
      </c>
      <c r="J27" s="3662"/>
      <c r="K27" s="1154"/>
      <c r="L27" s="1154"/>
      <c r="M27" s="1154"/>
      <c r="N27" s="1154"/>
      <c r="O27" s="1154"/>
      <c r="P27" s="1154"/>
      <c r="Q27" s="1154"/>
      <c r="R27" s="1154"/>
      <c r="S27" s="1154"/>
      <c r="T27" s="1154"/>
      <c r="U27" s="1154"/>
      <c r="V27" s="1154"/>
      <c r="W27" s="1154"/>
      <c r="X27" s="1154"/>
      <c r="Y27" s="1154"/>
      <c r="Z27" s="1154"/>
    </row>
    <row r="28" spans="1:26" ht="14.25" thickBot="1">
      <c r="A28" s="1241"/>
      <c r="B28" s="1246"/>
      <c r="C28" s="1194"/>
      <c r="D28" s="1194"/>
      <c r="E28" s="1194"/>
      <c r="F28" s="1194"/>
      <c r="G28" s="1247"/>
      <c r="H28" s="1232" t="str">
        <f>IF(OR(H70=0,H70=""),"",H70)</f>
        <v/>
      </c>
      <c r="I28" s="1248" t="s">
        <v>1515</v>
      </c>
      <c r="J28" s="3662"/>
      <c r="K28" s="1225" t="str">
        <f>IF(OR('Copy &amp; Paste'!F28="",'Copy &amp; Paste'!F28=0),"Wenn ein Basiswert UuV errechnet werden soll, muss 'Copy &amp; Paste!F28' ausgefüllt werden!","")</f>
        <v>Wenn ein Basiswert UuV errechnet werden soll, muss 'Copy &amp; Paste!F28' ausgefüllt werden!</v>
      </c>
      <c r="L28" s="1154"/>
      <c r="M28" s="1154"/>
      <c r="N28" s="1154"/>
      <c r="O28" s="1154"/>
      <c r="P28" s="1154"/>
      <c r="Q28" s="1154"/>
      <c r="R28" s="1154"/>
      <c r="S28" s="1154"/>
      <c r="T28" s="1154"/>
      <c r="U28" s="1154"/>
      <c r="V28" s="1154"/>
      <c r="W28" s="1154"/>
      <c r="X28" s="1154"/>
      <c r="Y28" s="1154"/>
      <c r="Z28" s="1154"/>
    </row>
    <row r="29" spans="1:26" ht="13.5" thickBot="1">
      <c r="A29" s="4518" t="s">
        <v>2151</v>
      </c>
      <c r="B29" s="4519"/>
      <c r="C29" s="4519"/>
      <c r="D29" s="4520"/>
      <c r="E29" s="1194"/>
      <c r="F29" s="1194"/>
      <c r="G29" s="1249"/>
      <c r="H29" s="4521" t="s">
        <v>1439</v>
      </c>
      <c r="I29" s="4522"/>
      <c r="J29" s="3662"/>
      <c r="K29" s="1154"/>
      <c r="L29" s="1154"/>
      <c r="M29" s="1154"/>
      <c r="N29" s="1154"/>
      <c r="O29" s="1154"/>
      <c r="P29" s="1154"/>
      <c r="Q29" s="1154"/>
      <c r="R29" s="1154"/>
      <c r="S29" s="1154"/>
      <c r="T29" s="1154"/>
      <c r="U29" s="1154"/>
      <c r="V29" s="1154"/>
      <c r="W29" s="1154"/>
      <c r="X29" s="1154"/>
      <c r="Y29" s="1154"/>
      <c r="Z29" s="1154"/>
    </row>
    <row r="30" spans="1:26">
      <c r="A30" s="1250"/>
      <c r="B30" s="4501"/>
      <c r="C30" s="4501"/>
      <c r="D30" s="1251"/>
      <c r="E30" s="1194"/>
      <c r="F30" s="1194"/>
      <c r="G30" s="1252"/>
      <c r="H30" s="1253" t="s">
        <v>1045</v>
      </c>
      <c r="I30" s="1254" t="s">
        <v>1046</v>
      </c>
      <c r="J30" s="3662"/>
      <c r="K30" s="1154"/>
      <c r="L30" s="1154"/>
      <c r="M30" s="1154"/>
      <c r="N30" s="1154"/>
      <c r="O30" s="1154"/>
      <c r="P30" s="1154"/>
      <c r="Q30" s="1154"/>
      <c r="R30" s="1154"/>
      <c r="S30" s="1154"/>
      <c r="T30" s="1154"/>
      <c r="U30" s="1154"/>
      <c r="V30" s="1154"/>
      <c r="W30" s="1154"/>
      <c r="X30" s="1154"/>
      <c r="Y30" s="1154"/>
      <c r="Z30" s="1154"/>
    </row>
    <row r="31" spans="1:26">
      <c r="A31" s="1255"/>
      <c r="B31" s="1203" t="s">
        <v>2152</v>
      </c>
      <c r="C31" s="1203" t="s">
        <v>1047</v>
      </c>
      <c r="D31" s="1256"/>
      <c r="E31" s="1257"/>
      <c r="F31" s="1257"/>
      <c r="G31" s="1258"/>
      <c r="H31" s="1259"/>
      <c r="I31" s="1260" t="s">
        <v>2135</v>
      </c>
      <c r="J31" s="3662"/>
      <c r="K31" s="1154"/>
      <c r="L31" s="1154"/>
      <c r="M31" s="1154"/>
      <c r="N31" s="1154"/>
      <c r="O31" s="1154"/>
      <c r="P31" s="1154"/>
      <c r="Q31" s="1154"/>
      <c r="R31" s="1154"/>
      <c r="S31" s="1154"/>
      <c r="T31" s="1154"/>
      <c r="U31" s="1154"/>
      <c r="V31" s="1154"/>
      <c r="W31" s="1154"/>
      <c r="X31" s="1154"/>
      <c r="Y31" s="1154"/>
      <c r="Z31" s="1154"/>
    </row>
    <row r="32" spans="1:26">
      <c r="A32" s="1261" t="s">
        <v>1048</v>
      </c>
      <c r="B32" s="3428">
        <f>D55</f>
        <v>0</v>
      </c>
      <c r="C32" s="1262" t="e">
        <f>D55/B24</f>
        <v>#DIV/0!</v>
      </c>
      <c r="D32" s="1263"/>
      <c r="E32" s="1264"/>
      <c r="F32" s="1264"/>
      <c r="G32" s="1258"/>
      <c r="H32" s="1259"/>
      <c r="I32" s="1265" t="s">
        <v>2136</v>
      </c>
      <c r="J32" s="3662"/>
      <c r="K32" s="1154"/>
      <c r="L32" s="1154"/>
      <c r="M32" s="1154"/>
      <c r="N32" s="1154"/>
      <c r="O32" s="1154"/>
      <c r="P32" s="1154"/>
      <c r="Q32" s="1154"/>
      <c r="R32" s="1154"/>
      <c r="S32" s="1154"/>
      <c r="T32" s="1154"/>
      <c r="U32" s="1154"/>
      <c r="V32" s="1154"/>
      <c r="W32" s="1154"/>
      <c r="X32" s="1154"/>
      <c r="Y32" s="1154"/>
      <c r="Z32" s="1154"/>
    </row>
    <row r="33" spans="1:26">
      <c r="A33" s="1261" t="s">
        <v>1049</v>
      </c>
      <c r="B33" s="1266">
        <f>F55/12</f>
        <v>0</v>
      </c>
      <c r="C33" s="1262" t="e">
        <f>F55/B24</f>
        <v>#DIV/0!</v>
      </c>
      <c r="D33" s="1263"/>
      <c r="E33" s="1264"/>
      <c r="F33" s="1264"/>
      <c r="G33" s="1194"/>
      <c r="H33" s="1259"/>
      <c r="I33" s="1265" t="s">
        <v>2137</v>
      </c>
      <c r="J33" s="3662"/>
      <c r="K33" s="1154"/>
      <c r="L33" s="1154"/>
      <c r="M33" s="1154"/>
      <c r="N33" s="1154"/>
      <c r="O33" s="1154"/>
      <c r="P33" s="1154"/>
      <c r="Q33" s="1154"/>
      <c r="R33" s="1154"/>
      <c r="S33" s="1154"/>
      <c r="T33" s="1154"/>
      <c r="U33" s="1154"/>
      <c r="V33" s="1154"/>
      <c r="W33" s="1154"/>
      <c r="X33" s="1154"/>
      <c r="Y33" s="1154"/>
      <c r="Z33" s="1154"/>
    </row>
    <row r="34" spans="1:26" ht="13.5" thickBot="1">
      <c r="A34" s="1261" t="s">
        <v>1050</v>
      </c>
      <c r="B34" s="1266">
        <f>G55/12</f>
        <v>0</v>
      </c>
      <c r="C34" s="1262" t="e">
        <f>G55/B24</f>
        <v>#DIV/0!</v>
      </c>
      <c r="D34" s="1263"/>
      <c r="E34" s="1264"/>
      <c r="F34" s="1264"/>
      <c r="G34" s="1258"/>
      <c r="H34" s="1267"/>
      <c r="I34" s="1268" t="s">
        <v>88</v>
      </c>
      <c r="J34" s="3662"/>
      <c r="K34" s="1154"/>
      <c r="L34" s="1154"/>
      <c r="M34" s="1154"/>
      <c r="N34" s="1154"/>
      <c r="O34" s="1154"/>
      <c r="P34" s="1154"/>
      <c r="Q34" s="1154"/>
      <c r="R34" s="1154"/>
      <c r="S34" s="1154"/>
      <c r="T34" s="1154"/>
      <c r="U34" s="1154"/>
      <c r="V34" s="1154"/>
      <c r="W34" s="1154"/>
      <c r="X34" s="1154"/>
      <c r="Y34" s="1154"/>
      <c r="Z34" s="1154"/>
    </row>
    <row r="35" spans="1:26" ht="6.75" customHeight="1" thickBot="1">
      <c r="A35" s="1269"/>
      <c r="B35" s="1270"/>
      <c r="C35" s="1271"/>
      <c r="D35" s="1264"/>
      <c r="E35" s="1264"/>
      <c r="F35" s="1264"/>
      <c r="G35" s="1272"/>
      <c r="H35" s="1273"/>
      <c r="I35" s="1274"/>
      <c r="J35" s="3662"/>
      <c r="K35" s="1154"/>
      <c r="L35" s="1154"/>
      <c r="M35" s="1154"/>
      <c r="N35" s="1154"/>
      <c r="O35" s="1154"/>
      <c r="P35" s="1154"/>
      <c r="Q35" s="1154"/>
      <c r="R35" s="1154"/>
      <c r="S35" s="1154"/>
      <c r="T35" s="1154"/>
      <c r="U35" s="1154"/>
      <c r="V35" s="1154"/>
      <c r="W35" s="1154"/>
      <c r="X35" s="1154"/>
      <c r="Y35" s="1154"/>
      <c r="Z35" s="1154"/>
    </row>
    <row r="36" spans="1:26" ht="13.5" thickBot="1">
      <c r="A36" s="1269"/>
      <c r="B36" s="1275"/>
      <c r="C36" s="1202"/>
      <c r="D36" s="1264"/>
      <c r="E36" s="1264"/>
      <c r="F36" s="1264"/>
      <c r="G36" s="1276"/>
      <c r="H36" s="4496" t="s">
        <v>1354</v>
      </c>
      <c r="I36" s="4497"/>
      <c r="J36" s="3662"/>
      <c r="K36" s="1154"/>
      <c r="L36" s="1154"/>
      <c r="M36" s="1154"/>
      <c r="N36" s="1154"/>
      <c r="O36" s="1154"/>
      <c r="P36" s="1154"/>
      <c r="Q36" s="1154"/>
      <c r="R36" s="1154"/>
      <c r="S36" s="1154"/>
      <c r="T36" s="1154"/>
      <c r="U36" s="1154"/>
      <c r="V36" s="1154"/>
      <c r="W36" s="1154"/>
      <c r="X36" s="1154"/>
      <c r="Y36" s="1154"/>
      <c r="Z36" s="1154"/>
    </row>
    <row r="37" spans="1:26">
      <c r="A37" s="4498" t="s">
        <v>2162</v>
      </c>
      <c r="B37" s="4499"/>
      <c r="C37" s="4499"/>
      <c r="D37" s="4500"/>
      <c r="E37" s="1202"/>
      <c r="F37" s="1202"/>
      <c r="G37" s="1194"/>
      <c r="H37" s="1277" t="str">
        <f>Protokoll!C63</f>
        <v/>
      </c>
      <c r="I37" s="1260" t="s">
        <v>1053</v>
      </c>
      <c r="J37" s="3662"/>
      <c r="K37" s="1154"/>
      <c r="L37" s="1154"/>
      <c r="M37" s="1154"/>
      <c r="N37" s="1154"/>
      <c r="O37" s="1154"/>
      <c r="P37" s="1154"/>
      <c r="Q37" s="1154"/>
      <c r="R37" s="1154"/>
      <c r="S37" s="1154"/>
      <c r="T37" s="1154"/>
      <c r="U37" s="1154"/>
      <c r="V37" s="1154"/>
      <c r="W37" s="1154"/>
      <c r="X37" s="1154"/>
      <c r="Y37" s="1154"/>
      <c r="Z37" s="1154"/>
    </row>
    <row r="38" spans="1:26">
      <c r="A38" s="1278"/>
      <c r="B38" s="4501"/>
      <c r="C38" s="4501"/>
      <c r="D38" s="1279"/>
      <c r="E38" s="1202"/>
      <c r="F38" s="1202"/>
      <c r="G38" s="1194"/>
      <c r="H38" s="1280" t="str">
        <f>Protokoll!D63</f>
        <v/>
      </c>
      <c r="I38" s="1260" t="s">
        <v>1054</v>
      </c>
      <c r="J38" s="3662"/>
      <c r="K38" s="1154"/>
      <c r="L38" s="1154"/>
      <c r="M38" s="1154"/>
      <c r="N38" s="1154"/>
      <c r="O38" s="1154"/>
      <c r="P38" s="1154"/>
      <c r="Q38" s="1154"/>
      <c r="R38" s="1154"/>
      <c r="S38" s="1154"/>
      <c r="T38" s="1154"/>
      <c r="U38" s="1154"/>
      <c r="V38" s="1154"/>
      <c r="W38" s="1154"/>
      <c r="X38" s="1154"/>
      <c r="Y38" s="1154"/>
      <c r="Z38" s="1154"/>
    </row>
    <row r="39" spans="1:26" ht="12.75" customHeight="1" thickBot="1">
      <c r="A39" s="4502" t="s">
        <v>247</v>
      </c>
      <c r="B39" s="4503"/>
      <c r="C39" s="3079"/>
      <c r="D39" s="3077"/>
      <c r="E39" s="1202"/>
      <c r="F39" s="1281"/>
      <c r="G39" s="1194"/>
      <c r="H39" s="1282" t="str">
        <f>IF('Copy &amp; Paste'!H12="","",IF(H38="","",ROUND(Protokoll!E63,2)))</f>
        <v/>
      </c>
      <c r="I39" s="1283" t="s">
        <v>1055</v>
      </c>
      <c r="J39" s="3662"/>
      <c r="K39" s="1154"/>
      <c r="L39" s="1154"/>
      <c r="M39" s="1154"/>
      <c r="N39" s="1154"/>
      <c r="O39" s="1154"/>
      <c r="P39" s="1154"/>
      <c r="Q39" s="1154"/>
      <c r="R39" s="1154"/>
      <c r="S39" s="1154"/>
      <c r="T39" s="1154"/>
      <c r="U39" s="1154"/>
      <c r="V39" s="1154"/>
      <c r="W39" s="1154"/>
      <c r="X39" s="1154"/>
      <c r="Y39" s="1154"/>
      <c r="Z39" s="1154"/>
    </row>
    <row r="40" spans="1:26">
      <c r="A40" s="4504" t="s">
        <v>2163</v>
      </c>
      <c r="B40" s="4505"/>
      <c r="C40" s="3080"/>
      <c r="D40" s="3078"/>
      <c r="E40" s="1202"/>
      <c r="F40" s="1202"/>
      <c r="G40" s="1194"/>
      <c r="H40" s="1202"/>
      <c r="I40" s="1284"/>
      <c r="J40" s="3662"/>
      <c r="K40" s="1154"/>
      <c r="L40" s="1154"/>
      <c r="M40" s="1154"/>
      <c r="N40" s="1154"/>
      <c r="O40" s="1154"/>
      <c r="P40" s="1154"/>
      <c r="Q40" s="1154"/>
      <c r="R40" s="1154"/>
      <c r="S40" s="1154"/>
      <c r="T40" s="1154"/>
      <c r="U40" s="1154"/>
      <c r="V40" s="1154"/>
      <c r="W40" s="1154"/>
      <c r="X40" s="1154"/>
      <c r="Y40" s="1154"/>
      <c r="Z40" s="1154"/>
    </row>
    <row r="41" spans="1:26" ht="12.75" customHeight="1">
      <c r="A41" s="4504" t="s">
        <v>2164</v>
      </c>
      <c r="B41" s="4505"/>
      <c r="C41" s="3081">
        <f>C39*C40/12</f>
        <v>0</v>
      </c>
      <c r="D41" s="3238"/>
      <c r="E41" s="1285"/>
      <c r="F41" s="1285"/>
      <c r="G41" s="1194"/>
      <c r="H41" s="4508" t="s">
        <v>1445</v>
      </c>
      <c r="I41" s="4509"/>
      <c r="J41" s="3662"/>
      <c r="K41" s="1154"/>
      <c r="L41" s="1154"/>
      <c r="M41" s="1154"/>
      <c r="N41" s="1154"/>
      <c r="O41" s="1154"/>
      <c r="P41" s="1154"/>
      <c r="Q41" s="1154"/>
      <c r="R41" s="1154"/>
      <c r="S41" s="1154"/>
      <c r="T41" s="1154"/>
      <c r="U41" s="1154"/>
      <c r="V41" s="1154"/>
      <c r="W41" s="1154"/>
      <c r="X41" s="1154"/>
      <c r="Y41" s="1154"/>
      <c r="Z41" s="1154"/>
    </row>
    <row r="42" spans="1:26">
      <c r="A42" s="1286"/>
      <c r="B42" s="1287"/>
      <c r="C42" s="3463"/>
      <c r="D42" s="1202"/>
      <c r="E42" s="1202"/>
      <c r="F42" s="1202"/>
      <c r="G42" s="1194"/>
      <c r="H42" s="1288" t="str">
        <f>IF(Landesteil="Westfalen-Lippe","LWL:","LVR:")</f>
        <v>LVR:</v>
      </c>
      <c r="I42" s="1289"/>
      <c r="J42" s="3662"/>
      <c r="K42" s="1154"/>
      <c r="L42" s="1154"/>
      <c r="M42" s="1154"/>
      <c r="N42" s="1154"/>
      <c r="O42" s="1154"/>
      <c r="P42" s="1154"/>
      <c r="Q42" s="1154"/>
      <c r="R42" s="1154"/>
      <c r="S42" s="1154"/>
      <c r="T42" s="1154"/>
      <c r="U42" s="1154"/>
      <c r="V42" s="1154"/>
      <c r="W42" s="1154"/>
      <c r="X42" s="1154"/>
      <c r="Y42" s="1154"/>
      <c r="Z42" s="1154"/>
    </row>
    <row r="43" spans="1:26">
      <c r="A43" s="1269"/>
      <c r="B43" s="1270"/>
      <c r="C43" s="1290"/>
      <c r="D43" s="1202"/>
      <c r="E43" s="1202"/>
      <c r="F43" s="1202"/>
      <c r="G43" s="1194"/>
      <c r="H43" s="1291" t="s">
        <v>1056</v>
      </c>
      <c r="I43" s="1292"/>
      <c r="J43" s="3662"/>
      <c r="K43" s="1154"/>
      <c r="L43" s="1154"/>
      <c r="M43" s="1154"/>
      <c r="N43" s="1154"/>
      <c r="O43" s="1154"/>
      <c r="P43" s="1154"/>
      <c r="Q43" s="1154"/>
      <c r="R43" s="1154"/>
      <c r="S43" s="1154"/>
      <c r="T43" s="1154"/>
      <c r="U43" s="1154"/>
      <c r="V43" s="1154"/>
      <c r="W43" s="1154"/>
      <c r="X43" s="1154"/>
      <c r="Y43" s="1154"/>
      <c r="Z43" s="1154"/>
    </row>
    <row r="44" spans="1:26" ht="13.5" thickBot="1">
      <c r="A44" s="4506"/>
      <c r="B44" s="4507"/>
      <c r="C44" s="1293"/>
      <c r="D44" s="1293"/>
      <c r="E44" s="1293"/>
      <c r="F44" s="1293"/>
      <c r="G44" s="1294"/>
      <c r="H44" s="1295"/>
      <c r="I44" s="1296"/>
      <c r="J44" s="3662"/>
      <c r="K44" s="1154"/>
      <c r="L44" s="1154"/>
      <c r="M44" s="1154"/>
      <c r="N44" s="1154"/>
      <c r="O44" s="1154"/>
      <c r="P44" s="1154"/>
      <c r="Q44" s="1154"/>
      <c r="R44" s="1154"/>
      <c r="S44" s="1154"/>
      <c r="T44" s="1154"/>
      <c r="U44" s="1154"/>
      <c r="V44" s="1154"/>
      <c r="W44" s="1154"/>
      <c r="X44" s="1154"/>
      <c r="Y44" s="1154"/>
      <c r="Z44" s="1154"/>
    </row>
    <row r="45" spans="1:26">
      <c r="A45" s="1154"/>
      <c r="B45" s="1154"/>
      <c r="C45" s="1154"/>
      <c r="D45" s="1154"/>
      <c r="E45" s="1154"/>
      <c r="F45" s="1154"/>
      <c r="G45" s="1154"/>
      <c r="H45" s="1154"/>
      <c r="I45" s="1154"/>
      <c r="J45" s="1154"/>
      <c r="K45" s="1154"/>
      <c r="L45" s="1154"/>
      <c r="M45" s="1154"/>
      <c r="N45" s="1154"/>
      <c r="O45" s="1154"/>
      <c r="P45" s="1154"/>
      <c r="Q45" s="1154"/>
      <c r="R45" s="1154"/>
      <c r="S45" s="1154"/>
      <c r="T45" s="1154"/>
      <c r="U45" s="1154"/>
      <c r="V45" s="1154"/>
      <c r="W45" s="1154"/>
      <c r="X45" s="1154"/>
      <c r="Y45" s="1154"/>
      <c r="Z45" s="1154"/>
    </row>
    <row r="46" spans="1:26">
      <c r="A46" s="3429" t="s">
        <v>2153</v>
      </c>
      <c r="B46" s="3430"/>
      <c r="C46" s="3430"/>
      <c r="D46" s="3430"/>
      <c r="E46" s="3431"/>
      <c r="F46" s="3430"/>
      <c r="G46" s="3430"/>
      <c r="H46" s="1154"/>
      <c r="I46" s="1154"/>
      <c r="J46" s="1154"/>
      <c r="K46" s="1154"/>
      <c r="L46" s="1154"/>
      <c r="M46" s="1154"/>
      <c r="N46" s="1154"/>
      <c r="O46" s="1154"/>
      <c r="P46" s="1154"/>
      <c r="Q46" s="1154"/>
      <c r="R46" s="1154"/>
      <c r="S46" s="1154"/>
      <c r="T46" s="1154"/>
      <c r="U46" s="1154"/>
      <c r="V46" s="1154"/>
      <c r="W46" s="1154"/>
      <c r="X46" s="1154"/>
      <c r="Y46" s="1154"/>
      <c r="Z46" s="1154"/>
    </row>
    <row r="47" spans="1:26">
      <c r="A47" s="3432"/>
      <c r="B47" s="3433"/>
      <c r="C47" s="3434"/>
      <c r="D47" s="3433"/>
      <c r="E47" s="3431"/>
      <c r="F47" s="3433"/>
      <c r="G47" s="3433"/>
      <c r="H47" s="1154"/>
      <c r="I47" s="1154"/>
      <c r="J47" s="1154"/>
      <c r="K47" s="1154"/>
      <c r="L47" s="1154"/>
      <c r="M47" s="1154"/>
      <c r="N47" s="1154"/>
      <c r="O47" s="1154"/>
      <c r="P47" s="1154"/>
      <c r="Q47" s="1154"/>
      <c r="R47" s="1154"/>
      <c r="S47" s="1154"/>
      <c r="T47" s="1154"/>
      <c r="U47" s="1154"/>
      <c r="V47" s="1154"/>
      <c r="W47" s="1154"/>
      <c r="X47" s="1154"/>
      <c r="Y47" s="1154"/>
      <c r="Z47" s="1154"/>
    </row>
    <row r="48" spans="1:26" ht="25.5">
      <c r="A48" s="3435" t="s">
        <v>2154</v>
      </c>
      <c r="B48" s="3436" t="s">
        <v>2155</v>
      </c>
      <c r="C48" s="3437" t="s">
        <v>2156</v>
      </c>
      <c r="D48" s="3437" t="s">
        <v>2157</v>
      </c>
      <c r="E48" s="3438"/>
      <c r="F48" s="3439" t="s">
        <v>2158</v>
      </c>
      <c r="G48" s="3440" t="s">
        <v>2159</v>
      </c>
      <c r="H48" s="1154"/>
      <c r="I48" s="1154"/>
      <c r="J48" s="1154"/>
      <c r="K48" s="1154"/>
      <c r="L48" s="1154"/>
      <c r="M48" s="1154"/>
      <c r="N48" s="1154"/>
      <c r="O48" s="1154"/>
      <c r="P48" s="1154"/>
      <c r="Q48" s="1154"/>
      <c r="R48" s="1154"/>
      <c r="S48" s="1154"/>
      <c r="T48" s="1154"/>
      <c r="U48" s="1154"/>
      <c r="V48" s="1154"/>
      <c r="W48" s="1154"/>
      <c r="X48" s="1154"/>
      <c r="Y48" s="1154"/>
      <c r="Z48" s="1154"/>
    </row>
    <row r="49" spans="1:26">
      <c r="A49" s="3441" t="s">
        <v>340</v>
      </c>
      <c r="B49" s="3442"/>
      <c r="C49" s="3443"/>
      <c r="D49" s="3444">
        <f>B49*C49</f>
        <v>0</v>
      </c>
      <c r="E49" s="3431"/>
      <c r="F49" s="3445">
        <f>D49*0.5</f>
        <v>0</v>
      </c>
      <c r="G49" s="3446">
        <f>D49-F49</f>
        <v>0</v>
      </c>
      <c r="H49" s="1154"/>
      <c r="I49" s="1154"/>
      <c r="J49" s="1154"/>
      <c r="K49" s="1154"/>
      <c r="L49" s="1154"/>
      <c r="M49" s="1154"/>
      <c r="N49" s="1154"/>
      <c r="O49" s="1154"/>
      <c r="P49" s="1154"/>
      <c r="Q49" s="1154"/>
      <c r="R49" s="1154"/>
      <c r="S49" s="1154"/>
      <c r="T49" s="1154"/>
      <c r="U49" s="1154"/>
      <c r="V49" s="1154"/>
      <c r="W49" s="1154"/>
      <c r="X49" s="1154"/>
      <c r="Y49" s="1154"/>
      <c r="Z49" s="1154"/>
    </row>
    <row r="50" spans="1:26">
      <c r="A50" s="3447" t="s">
        <v>341</v>
      </c>
      <c r="B50" s="3448"/>
      <c r="C50" s="3449">
        <f>$C$180</f>
        <v>0</v>
      </c>
      <c r="D50" s="3450">
        <f t="shared" ref="D50:D54" si="1">B50*C50</f>
        <v>0</v>
      </c>
      <c r="E50" s="3431"/>
      <c r="F50" s="3451">
        <f>D50*0.5</f>
        <v>0</v>
      </c>
      <c r="G50" s="3452">
        <f>D50-F50</f>
        <v>0</v>
      </c>
      <c r="H50" s="1154"/>
      <c r="I50" s="1154"/>
      <c r="J50" s="1154"/>
      <c r="K50" s="1154"/>
      <c r="L50" s="1154"/>
      <c r="M50" s="1154"/>
      <c r="N50" s="1154"/>
      <c r="O50" s="1154"/>
      <c r="P50" s="1154"/>
      <c r="Q50" s="1154"/>
      <c r="R50" s="1154"/>
      <c r="S50" s="1154"/>
      <c r="T50" s="1154"/>
      <c r="U50" s="1154"/>
      <c r="V50" s="1154"/>
      <c r="W50" s="1154"/>
      <c r="X50" s="1154"/>
      <c r="Y50" s="1154"/>
      <c r="Z50" s="1154"/>
    </row>
    <row r="51" spans="1:26">
      <c r="A51" s="3447" t="s">
        <v>2160</v>
      </c>
      <c r="B51" s="3448"/>
      <c r="C51" s="3449">
        <f>$C$180</f>
        <v>0</v>
      </c>
      <c r="D51" s="3450">
        <f t="shared" si="1"/>
        <v>0</v>
      </c>
      <c r="E51" s="3431"/>
      <c r="F51" s="3451">
        <f>D51*0.5</f>
        <v>0</v>
      </c>
      <c r="G51" s="3452">
        <f>D51-F51</f>
        <v>0</v>
      </c>
      <c r="H51" s="1154"/>
      <c r="I51" s="1154"/>
      <c r="J51" s="1154"/>
      <c r="K51" s="1154"/>
      <c r="L51" s="1154"/>
      <c r="M51" s="1154"/>
      <c r="N51" s="1154"/>
      <c r="O51" s="1154"/>
      <c r="P51" s="1154"/>
      <c r="Q51" s="1154"/>
      <c r="R51" s="1154"/>
      <c r="S51" s="1154"/>
      <c r="T51" s="1154"/>
      <c r="U51" s="1154"/>
      <c r="V51" s="1154"/>
      <c r="W51" s="1154"/>
      <c r="X51" s="1154"/>
      <c r="Y51" s="1154"/>
      <c r="Z51" s="1154"/>
    </row>
    <row r="52" spans="1:26">
      <c r="A52" s="3447" t="s">
        <v>48</v>
      </c>
      <c r="B52" s="3448"/>
      <c r="C52" s="3449">
        <f>$C$180</f>
        <v>0</v>
      </c>
      <c r="D52" s="3450">
        <f t="shared" si="1"/>
        <v>0</v>
      </c>
      <c r="E52" s="3431"/>
      <c r="F52" s="3451">
        <f>D52*0.5</f>
        <v>0</v>
      </c>
      <c r="G52" s="3452">
        <f>D52-F52</f>
        <v>0</v>
      </c>
      <c r="H52" s="1154"/>
      <c r="I52" s="1154"/>
      <c r="J52" s="1154"/>
      <c r="K52" s="1154"/>
      <c r="L52" s="1154"/>
      <c r="M52" s="1154"/>
      <c r="N52" s="1154"/>
      <c r="O52" s="1154"/>
      <c r="P52" s="1154"/>
      <c r="Q52" s="1154"/>
      <c r="R52" s="1154"/>
      <c r="S52" s="1154"/>
      <c r="T52" s="1154"/>
      <c r="U52" s="1154"/>
      <c r="V52" s="1154"/>
      <c r="W52" s="1154"/>
      <c r="X52" s="1154"/>
      <c r="Y52" s="1154"/>
      <c r="Z52" s="1154"/>
    </row>
    <row r="53" spans="1:26">
      <c r="A53" s="3447" t="s">
        <v>2161</v>
      </c>
      <c r="B53" s="3448"/>
      <c r="C53" s="3449">
        <f>$C$180</f>
        <v>0</v>
      </c>
      <c r="D53" s="3450">
        <f t="shared" si="1"/>
        <v>0</v>
      </c>
      <c r="E53" s="3431"/>
      <c r="F53" s="3451">
        <f>D53</f>
        <v>0</v>
      </c>
      <c r="G53" s="3452"/>
      <c r="H53" s="1154"/>
      <c r="I53" s="1154"/>
      <c r="J53" s="1154"/>
      <c r="K53" s="1154"/>
      <c r="L53" s="1154"/>
      <c r="M53" s="1154"/>
      <c r="N53" s="1154"/>
      <c r="O53" s="1154"/>
      <c r="P53" s="1154"/>
      <c r="Q53" s="1154"/>
      <c r="R53" s="1154"/>
      <c r="S53" s="1154"/>
      <c r="T53" s="1154"/>
      <c r="U53" s="1154"/>
      <c r="V53" s="1154"/>
      <c r="W53" s="1154"/>
      <c r="X53" s="1154"/>
      <c r="Y53" s="1154"/>
      <c r="Z53" s="1154"/>
    </row>
    <row r="54" spans="1:26">
      <c r="A54" s="3453" t="s">
        <v>53</v>
      </c>
      <c r="B54" s="3454"/>
      <c r="C54" s="3455">
        <f>$C$180</f>
        <v>0</v>
      </c>
      <c r="D54" s="3456">
        <f t="shared" si="1"/>
        <v>0</v>
      </c>
      <c r="E54" s="3431"/>
      <c r="F54" s="3457"/>
      <c r="G54" s="3458">
        <f>D54</f>
        <v>0</v>
      </c>
      <c r="H54" s="1154"/>
      <c r="I54" s="1154"/>
      <c r="J54" s="1154"/>
      <c r="K54" s="1154"/>
      <c r="L54" s="1154"/>
      <c r="M54" s="1154"/>
      <c r="N54" s="1154"/>
      <c r="O54" s="1154"/>
      <c r="P54" s="1154"/>
      <c r="Q54" s="1154"/>
      <c r="R54" s="1154"/>
      <c r="S54" s="1154"/>
      <c r="T54" s="1154"/>
      <c r="U54" s="1154"/>
      <c r="V54" s="1154"/>
      <c r="W54" s="1154"/>
      <c r="X54" s="1154"/>
      <c r="Y54" s="1154"/>
      <c r="Z54" s="1154"/>
    </row>
    <row r="55" spans="1:26">
      <c r="A55" s="3447"/>
      <c r="B55" s="3433"/>
      <c r="C55" s="3459"/>
      <c r="D55" s="3460">
        <f>SUM(D49:D54)</f>
        <v>0</v>
      </c>
      <c r="E55" s="3431"/>
      <c r="F55" s="3461">
        <f>SUM(F49:F54)</f>
        <v>0</v>
      </c>
      <c r="G55" s="3461">
        <f>SUM(G49:G54)</f>
        <v>0</v>
      </c>
      <c r="H55" s="1154"/>
      <c r="I55" s="1154"/>
      <c r="J55" s="1154"/>
      <c r="K55" s="1154"/>
      <c r="L55" s="1154"/>
      <c r="M55" s="1154"/>
      <c r="N55" s="1154"/>
      <c r="O55" s="1154"/>
      <c r="P55" s="1154"/>
      <c r="Q55" s="1154"/>
      <c r="R55" s="1154"/>
      <c r="S55" s="1154"/>
      <c r="T55" s="1154"/>
      <c r="U55" s="1154"/>
      <c r="V55" s="1154"/>
      <c r="W55" s="1154"/>
      <c r="X55" s="1154"/>
      <c r="Y55" s="1154"/>
      <c r="Z55" s="1154"/>
    </row>
    <row r="56" spans="1:26">
      <c r="A56" s="3447"/>
      <c r="B56" s="3433"/>
      <c r="C56" s="3459"/>
      <c r="D56" s="3450"/>
      <c r="E56" s="3431"/>
      <c r="F56" s="3462" t="e">
        <f>F55/B24</f>
        <v>#DIV/0!</v>
      </c>
      <c r="G56" s="3462" t="e">
        <f>G55/B24</f>
        <v>#DIV/0!</v>
      </c>
      <c r="H56" s="1154"/>
      <c r="I56" s="1154"/>
      <c r="J56" s="1154"/>
      <c r="K56" s="1154"/>
      <c r="L56" s="1154"/>
      <c r="M56" s="1154"/>
      <c r="N56" s="1154"/>
      <c r="O56" s="1154"/>
      <c r="P56" s="1154"/>
      <c r="Q56" s="1154"/>
      <c r="R56" s="1154"/>
      <c r="S56" s="1154"/>
      <c r="T56" s="1154"/>
      <c r="U56" s="1154"/>
      <c r="V56" s="1154"/>
      <c r="W56" s="1154"/>
      <c r="X56" s="1154"/>
      <c r="Y56" s="1154"/>
      <c r="Z56" s="1154"/>
    </row>
    <row r="57" spans="1:26">
      <c r="A57" s="1154"/>
      <c r="B57" s="1154"/>
      <c r="C57" s="1154"/>
      <c r="D57" s="1154"/>
      <c r="E57" s="1154"/>
      <c r="F57" s="1154"/>
      <c r="G57" s="1154"/>
      <c r="H57" s="1154"/>
      <c r="I57" s="1154"/>
      <c r="J57" s="1154"/>
      <c r="K57" s="1154"/>
      <c r="L57" s="1154"/>
      <c r="M57" s="1154"/>
      <c r="N57" s="1154"/>
      <c r="O57" s="1154"/>
      <c r="P57" s="1154"/>
      <c r="Q57" s="1154"/>
      <c r="R57" s="1154"/>
      <c r="S57" s="1154"/>
      <c r="T57" s="1154"/>
      <c r="U57" s="1154"/>
      <c r="V57" s="1154"/>
      <c r="W57" s="1154"/>
      <c r="X57" s="1154"/>
      <c r="Y57" s="1154"/>
      <c r="Z57" s="1154"/>
    </row>
    <row r="58" spans="1:26">
      <c r="A58" s="1154"/>
      <c r="B58" s="1154"/>
      <c r="C58" s="1154"/>
      <c r="D58" s="1154"/>
      <c r="E58" s="1154"/>
      <c r="F58" s="1154"/>
      <c r="G58" s="1154"/>
      <c r="H58" s="1154"/>
      <c r="I58" s="1154"/>
      <c r="J58" s="1154"/>
      <c r="K58" s="1154"/>
      <c r="L58" s="1154"/>
      <c r="M58" s="1154"/>
      <c r="N58" s="1154"/>
      <c r="O58" s="1154"/>
      <c r="P58" s="1154"/>
      <c r="Q58" s="1154"/>
      <c r="R58" s="1154"/>
      <c r="S58" s="1154"/>
      <c r="T58" s="1154"/>
      <c r="U58" s="1154"/>
      <c r="V58" s="1154"/>
      <c r="W58" s="1154"/>
      <c r="X58" s="1154"/>
      <c r="Y58" s="1154"/>
      <c r="Z58" s="1154"/>
    </row>
    <row r="59" spans="1:26">
      <c r="A59" s="1154"/>
      <c r="B59" s="1154"/>
      <c r="C59" s="1154"/>
      <c r="D59" s="1154"/>
      <c r="E59" s="1154"/>
      <c r="F59" s="1154"/>
      <c r="G59" s="1154"/>
      <c r="H59" s="1154"/>
      <c r="I59" s="1154"/>
      <c r="J59" s="1154"/>
      <c r="K59" s="1154"/>
      <c r="L59" s="1154"/>
      <c r="M59" s="1154"/>
      <c r="N59" s="1154"/>
      <c r="O59" s="1154"/>
      <c r="P59" s="1154"/>
      <c r="Q59" s="1154"/>
      <c r="R59" s="1154"/>
      <c r="S59" s="1154"/>
      <c r="T59" s="1154"/>
      <c r="U59" s="1154"/>
      <c r="V59" s="1154"/>
      <c r="W59" s="1154"/>
      <c r="X59" s="1154"/>
      <c r="Y59" s="1154"/>
      <c r="Z59" s="1154"/>
    </row>
    <row r="60" spans="1:26" ht="13.5" outlineLevel="1" thickBot="1">
      <c r="A60" s="1154"/>
      <c r="B60" s="1154"/>
      <c r="C60" s="1154"/>
      <c r="D60" s="1154"/>
      <c r="E60" s="1154"/>
      <c r="F60" s="1154"/>
      <c r="G60" s="1154"/>
      <c r="H60" s="1154"/>
      <c r="I60" s="1154"/>
      <c r="J60" s="1154"/>
      <c r="K60" s="1154"/>
      <c r="L60" s="1154"/>
      <c r="M60" s="1154"/>
      <c r="N60" s="1154"/>
      <c r="O60" s="1154"/>
      <c r="P60" s="1154"/>
      <c r="Q60" s="1154"/>
      <c r="R60" s="1154"/>
      <c r="S60" s="1154"/>
      <c r="T60" s="1154"/>
      <c r="U60" s="1154"/>
      <c r="V60" s="1154"/>
      <c r="W60" s="1154"/>
      <c r="X60" s="1154"/>
      <c r="Y60" s="1154"/>
      <c r="Z60" s="1154"/>
    </row>
    <row r="61" spans="1:26" ht="15" outlineLevel="1">
      <c r="A61" s="4493" t="s">
        <v>897</v>
      </c>
      <c r="B61" s="4494"/>
      <c r="C61" s="4494"/>
      <c r="D61" s="4494"/>
      <c r="E61" s="4494"/>
      <c r="F61" s="4494"/>
      <c r="G61" s="4494"/>
      <c r="H61" s="4495"/>
      <c r="I61" s="1154"/>
      <c r="J61" s="1154"/>
      <c r="K61" s="1154"/>
      <c r="L61" s="1154"/>
      <c r="M61" s="1154"/>
      <c r="N61" s="1154"/>
      <c r="O61" s="1154"/>
      <c r="P61" s="1154"/>
      <c r="Q61" s="1154"/>
      <c r="R61" s="1154"/>
      <c r="S61" s="1154"/>
      <c r="T61" s="1154"/>
      <c r="U61" s="1154"/>
      <c r="V61" s="1154"/>
      <c r="W61" s="1154"/>
      <c r="X61" s="1154"/>
      <c r="Y61" s="1154"/>
      <c r="Z61" s="1154"/>
    </row>
    <row r="62" spans="1:26" outlineLevel="1">
      <c r="A62" s="1297"/>
      <c r="B62" s="1298"/>
      <c r="C62" s="1298"/>
      <c r="D62" s="1299"/>
      <c r="E62" s="1299"/>
      <c r="F62" s="1299"/>
      <c r="G62" s="1300"/>
      <c r="H62" s="1301"/>
      <c r="I62" s="1154"/>
      <c r="J62" s="1154"/>
      <c r="K62" s="1154"/>
      <c r="L62" s="1154"/>
      <c r="M62" s="1154"/>
      <c r="N62" s="1154"/>
      <c r="O62" s="1154"/>
      <c r="P62" s="1154"/>
      <c r="Q62" s="1154"/>
      <c r="R62" s="1154"/>
      <c r="S62" s="1154"/>
      <c r="T62" s="1154"/>
      <c r="U62" s="1154"/>
      <c r="V62" s="1154"/>
      <c r="W62" s="1154"/>
      <c r="X62" s="1154"/>
      <c r="Y62" s="1154"/>
      <c r="Z62" s="1154"/>
    </row>
    <row r="63" spans="1:26" ht="15" outlineLevel="1">
      <c r="A63" s="1302"/>
      <c r="B63" s="1303"/>
      <c r="C63" s="1298"/>
      <c r="D63" s="1299"/>
      <c r="E63" s="1299"/>
      <c r="F63" s="1299"/>
      <c r="G63" s="1300"/>
      <c r="H63" s="1304" t="s">
        <v>843</v>
      </c>
      <c r="I63" s="1154"/>
      <c r="J63" s="1154"/>
      <c r="K63" s="1154"/>
      <c r="L63" s="1154"/>
      <c r="M63" s="1154"/>
      <c r="N63" s="1154"/>
      <c r="O63" s="1154"/>
      <c r="P63" s="1154"/>
      <c r="Q63" s="1154"/>
      <c r="R63" s="1154"/>
      <c r="S63" s="1154"/>
      <c r="T63" s="1154"/>
      <c r="U63" s="1154"/>
      <c r="V63" s="1154"/>
      <c r="W63" s="1154"/>
      <c r="X63" s="1154"/>
      <c r="Y63" s="1154"/>
      <c r="Z63" s="1154"/>
    </row>
    <row r="64" spans="1:26" outlineLevel="1">
      <c r="A64" s="1305" t="s">
        <v>241</v>
      </c>
      <c r="B64" s="1306"/>
      <c r="C64" s="1307"/>
      <c r="D64" s="1308"/>
      <c r="E64" s="1308"/>
      <c r="F64" s="1308"/>
      <c r="G64" s="1300"/>
      <c r="H64" s="1309">
        <f>'Copy &amp; Paste'!H11</f>
        <v>0</v>
      </c>
      <c r="I64" s="1154"/>
      <c r="J64" s="1154"/>
      <c r="K64" s="1154"/>
      <c r="L64" s="1154"/>
      <c r="M64" s="1154"/>
      <c r="N64" s="1154"/>
      <c r="O64" s="1154"/>
      <c r="P64" s="1154"/>
      <c r="Q64" s="1154"/>
      <c r="R64" s="1154"/>
      <c r="S64" s="1154"/>
      <c r="T64" s="1154"/>
      <c r="U64" s="1154"/>
      <c r="V64" s="1154"/>
      <c r="W64" s="1154"/>
      <c r="X64" s="1154"/>
      <c r="Y64" s="1154"/>
      <c r="Z64" s="1154"/>
    </row>
    <row r="65" spans="1:26" outlineLevel="1">
      <c r="A65" s="1305" t="s">
        <v>898</v>
      </c>
      <c r="B65" s="1306"/>
      <c r="C65" s="1307"/>
      <c r="D65" s="1310"/>
      <c r="E65" s="1310"/>
      <c r="F65" s="1310"/>
      <c r="G65" s="1300"/>
      <c r="H65" s="1311">
        <f>'Copy &amp; Paste'!F73</f>
        <v>0</v>
      </c>
      <c r="I65" s="1154"/>
      <c r="J65" s="1154"/>
      <c r="K65" s="1154"/>
      <c r="L65" s="1154"/>
      <c r="M65" s="1154"/>
      <c r="N65" s="1154"/>
      <c r="O65" s="1154"/>
      <c r="P65" s="1154"/>
      <c r="Q65" s="1154"/>
      <c r="R65" s="1154"/>
      <c r="S65" s="1154"/>
      <c r="T65" s="1154"/>
      <c r="U65" s="1154"/>
      <c r="V65" s="1154"/>
      <c r="W65" s="1154"/>
      <c r="X65" s="1154"/>
      <c r="Y65" s="1154"/>
      <c r="Z65" s="1154"/>
    </row>
    <row r="66" spans="1:26" outlineLevel="1">
      <c r="A66" s="1305" t="s">
        <v>33</v>
      </c>
      <c r="B66" s="1306"/>
      <c r="C66" s="1307"/>
      <c r="D66" s="1312"/>
      <c r="E66" s="1312"/>
      <c r="F66" s="1312"/>
      <c r="G66" s="1300"/>
      <c r="H66" s="1313">
        <v>0.98</v>
      </c>
      <c r="I66" s="1154"/>
      <c r="J66" s="1154"/>
      <c r="K66" s="1154"/>
      <c r="L66" s="1154"/>
      <c r="M66" s="1154"/>
      <c r="N66" s="1154"/>
      <c r="O66" s="1154"/>
      <c r="P66" s="1154"/>
      <c r="Q66" s="1154"/>
      <c r="R66" s="1154"/>
      <c r="S66" s="1154"/>
      <c r="T66" s="1154"/>
      <c r="U66" s="1154"/>
      <c r="V66" s="1154"/>
      <c r="W66" s="1154"/>
      <c r="X66" s="1154"/>
      <c r="Y66" s="1154"/>
      <c r="Z66" s="1154"/>
    </row>
    <row r="67" spans="1:26" outlineLevel="1">
      <c r="A67" s="1305" t="s">
        <v>899</v>
      </c>
      <c r="B67" s="1306"/>
      <c r="C67" s="1307"/>
      <c r="D67" s="1314"/>
      <c r="E67" s="1314"/>
      <c r="F67" s="1314"/>
      <c r="G67" s="1300"/>
      <c r="H67" s="1315">
        <f>B24</f>
        <v>0</v>
      </c>
      <c r="I67" s="1154"/>
      <c r="J67" s="1154"/>
      <c r="K67" s="1154"/>
      <c r="L67" s="1154"/>
      <c r="M67" s="1154"/>
      <c r="N67" s="1154"/>
      <c r="O67" s="1154"/>
      <c r="P67" s="1154"/>
      <c r="Q67" s="1154"/>
      <c r="R67" s="1154"/>
      <c r="S67" s="1154"/>
      <c r="T67" s="1154"/>
      <c r="U67" s="1154"/>
      <c r="V67" s="1154"/>
      <c r="W67" s="1154"/>
      <c r="X67" s="1154"/>
      <c r="Y67" s="1154"/>
      <c r="Z67" s="1154"/>
    </row>
    <row r="68" spans="1:26" outlineLevel="1">
      <c r="A68" s="1305" t="s">
        <v>900</v>
      </c>
      <c r="B68" s="1306"/>
      <c r="C68" s="1307"/>
      <c r="D68" s="1314"/>
      <c r="E68" s="1314"/>
      <c r="F68" s="1314"/>
      <c r="G68" s="1300"/>
      <c r="H68" s="1315">
        <f>H65*H66*365</f>
        <v>0</v>
      </c>
      <c r="I68" s="1154"/>
      <c r="J68" s="1154"/>
      <c r="K68" s="1154"/>
      <c r="L68" s="1154"/>
      <c r="M68" s="1154"/>
      <c r="N68" s="1154"/>
      <c r="O68" s="1154"/>
      <c r="P68" s="1154"/>
      <c r="Q68" s="1154"/>
      <c r="R68" s="1154"/>
      <c r="S68" s="1154"/>
      <c r="T68" s="1154"/>
      <c r="U68" s="1154"/>
      <c r="V68" s="1154"/>
      <c r="W68" s="1154"/>
      <c r="X68" s="1154"/>
      <c r="Y68" s="1154"/>
      <c r="Z68" s="1154"/>
    </row>
    <row r="69" spans="1:26" outlineLevel="1">
      <c r="A69" s="1305" t="s">
        <v>901</v>
      </c>
      <c r="B69" s="1306"/>
      <c r="C69" s="1307"/>
      <c r="D69" s="1314"/>
      <c r="E69" s="1314"/>
      <c r="F69" s="1314"/>
      <c r="G69" s="1300"/>
      <c r="H69" s="1315">
        <f>H67-H68</f>
        <v>0</v>
      </c>
      <c r="I69" s="1154"/>
      <c r="J69" s="1154"/>
      <c r="K69" s="1154"/>
      <c r="L69" s="1154"/>
      <c r="M69" s="1154"/>
      <c r="N69" s="1154"/>
      <c r="O69" s="1154"/>
      <c r="P69" s="1154"/>
      <c r="Q69" s="1154"/>
      <c r="R69" s="1154"/>
      <c r="S69" s="1154"/>
      <c r="T69" s="1154"/>
      <c r="U69" s="1154"/>
      <c r="V69" s="1154"/>
      <c r="W69" s="1154"/>
      <c r="X69" s="1154"/>
      <c r="Y69" s="1154"/>
      <c r="Z69" s="1154"/>
    </row>
    <row r="70" spans="1:26" outlineLevel="1">
      <c r="A70" s="1305" t="s">
        <v>1051</v>
      </c>
      <c r="B70" s="1306"/>
      <c r="C70" s="1307"/>
      <c r="D70" s="1314"/>
      <c r="E70" s="1314"/>
      <c r="F70" s="1314"/>
      <c r="G70" s="1300"/>
      <c r="H70" s="1316" t="str">
        <f>IF('Copy &amp; Paste'!B14="ja",'Copy &amp; Paste'!F28*(1+I1)+C34,"")</f>
        <v/>
      </c>
      <c r="I70" s="1154"/>
      <c r="J70" s="1154"/>
      <c r="K70" s="1154"/>
      <c r="L70" s="1154"/>
      <c r="M70" s="1154"/>
      <c r="N70" s="1154"/>
      <c r="O70" s="1154"/>
      <c r="P70" s="1154"/>
      <c r="Q70" s="1154"/>
      <c r="R70" s="1154"/>
      <c r="S70" s="1154"/>
      <c r="T70" s="1154"/>
      <c r="U70" s="1154"/>
      <c r="V70" s="1154"/>
      <c r="W70" s="1154"/>
      <c r="X70" s="1154"/>
      <c r="Y70" s="1154"/>
      <c r="Z70" s="1154"/>
    </row>
    <row r="71" spans="1:26" outlineLevel="1">
      <c r="A71" s="1305" t="s">
        <v>1052</v>
      </c>
      <c r="B71" s="1306"/>
      <c r="C71" s="1307"/>
      <c r="D71" s="1314"/>
      <c r="E71" s="1314"/>
      <c r="F71" s="1314"/>
      <c r="G71" s="1300"/>
      <c r="H71" s="1317" t="e">
        <f>H70*H67</f>
        <v>#VALUE!</v>
      </c>
      <c r="I71" s="1154"/>
      <c r="J71" s="1154"/>
      <c r="K71" s="1154"/>
      <c r="L71" s="1154"/>
      <c r="M71" s="1154"/>
      <c r="N71" s="1154"/>
      <c r="O71" s="1154"/>
      <c r="P71" s="1154"/>
      <c r="Q71" s="1154"/>
      <c r="R71" s="1154"/>
      <c r="S71" s="1154"/>
      <c r="T71" s="1154"/>
      <c r="U71" s="1154"/>
      <c r="V71" s="1154"/>
      <c r="W71" s="1154"/>
      <c r="X71" s="1154"/>
      <c r="Y71" s="1154"/>
      <c r="Z71" s="1154"/>
    </row>
    <row r="72" spans="1:26" outlineLevel="1">
      <c r="A72" s="1305" t="s">
        <v>904</v>
      </c>
      <c r="B72" s="1306"/>
      <c r="C72" s="1307"/>
      <c r="D72" s="1318"/>
      <c r="E72" s="1318"/>
      <c r="F72" s="1318"/>
      <c r="G72" s="1300"/>
      <c r="H72" s="1319">
        <v>0.14499999999999999</v>
      </c>
      <c r="I72" s="1154"/>
      <c r="J72" s="1154"/>
      <c r="K72" s="1154"/>
      <c r="L72" s="1154"/>
      <c r="M72" s="1154"/>
      <c r="N72" s="1154"/>
      <c r="O72" s="1154"/>
      <c r="P72" s="1154"/>
      <c r="Q72" s="1154"/>
      <c r="R72" s="1154"/>
      <c r="S72" s="1154"/>
      <c r="T72" s="1154"/>
      <c r="U72" s="1154"/>
      <c r="V72" s="1154"/>
      <c r="W72" s="1154"/>
      <c r="X72" s="1154"/>
      <c r="Y72" s="1154"/>
      <c r="Z72" s="1154"/>
    </row>
    <row r="73" spans="1:26" outlineLevel="1">
      <c r="A73" s="1305" t="s">
        <v>905</v>
      </c>
      <c r="B73" s="1306"/>
      <c r="C73" s="1307"/>
      <c r="D73" s="1314"/>
      <c r="E73" s="1314"/>
      <c r="F73" s="1314"/>
      <c r="G73" s="1300"/>
      <c r="H73" s="1320" t="e">
        <f>ROUND(((H67/(H69+H68*(1-H72))-1)*H70),2)</f>
        <v>#DIV/0!</v>
      </c>
      <c r="I73" s="1154"/>
      <c r="J73" s="1154"/>
      <c r="K73" s="1154"/>
      <c r="L73" s="1154"/>
      <c r="M73" s="1154"/>
      <c r="N73" s="1154"/>
      <c r="O73" s="1154"/>
      <c r="P73" s="1154"/>
      <c r="Q73" s="1154"/>
      <c r="R73" s="1154"/>
      <c r="S73" s="1154"/>
      <c r="T73" s="1154"/>
      <c r="U73" s="1154"/>
      <c r="V73" s="1154"/>
      <c r="W73" s="1154"/>
      <c r="X73" s="1154"/>
      <c r="Y73" s="1154"/>
      <c r="Z73" s="1154"/>
    </row>
    <row r="74" spans="1:26" outlineLevel="1">
      <c r="A74" s="1305" t="s">
        <v>756</v>
      </c>
      <c r="B74" s="1306"/>
      <c r="C74" s="1307"/>
      <c r="D74" s="1314"/>
      <c r="E74" s="1314"/>
      <c r="F74" s="1314"/>
      <c r="G74" s="1300"/>
      <c r="H74" s="1321" t="e">
        <f>H70+H73</f>
        <v>#VALUE!</v>
      </c>
      <c r="I74" s="1154"/>
      <c r="J74" s="1154"/>
      <c r="K74" s="1154"/>
      <c r="L74" s="1154"/>
      <c r="M74" s="1154"/>
      <c r="N74" s="1154"/>
      <c r="O74" s="1154"/>
      <c r="P74" s="1154"/>
      <c r="Q74" s="1154"/>
      <c r="R74" s="1154"/>
      <c r="S74" s="1154"/>
      <c r="T74" s="1154"/>
      <c r="U74" s="1154"/>
      <c r="V74" s="1154"/>
      <c r="W74" s="1154"/>
      <c r="X74" s="1154"/>
      <c r="Y74" s="1154"/>
      <c r="Z74" s="1154"/>
    </row>
    <row r="75" spans="1:26" outlineLevel="1">
      <c r="A75" s="1305" t="s">
        <v>906</v>
      </c>
      <c r="B75" s="1306"/>
      <c r="C75" s="1307"/>
      <c r="D75" s="1314"/>
      <c r="E75" s="1314"/>
      <c r="F75" s="1314"/>
      <c r="G75" s="1300"/>
      <c r="H75" s="1320" t="e">
        <f>ROUND(H74*(1-H72),2)</f>
        <v>#VALUE!</v>
      </c>
      <c r="I75" s="1154"/>
      <c r="J75" s="1154"/>
      <c r="K75" s="1154"/>
      <c r="L75" s="1154"/>
      <c r="M75" s="1154"/>
      <c r="N75" s="1154"/>
      <c r="O75" s="1154"/>
      <c r="P75" s="1154"/>
      <c r="Q75" s="1154"/>
      <c r="R75" s="1154"/>
      <c r="S75" s="1154"/>
      <c r="T75" s="1154"/>
      <c r="U75" s="1154"/>
      <c r="V75" s="1154"/>
      <c r="W75" s="1154"/>
      <c r="X75" s="1154"/>
      <c r="Y75" s="1154"/>
      <c r="Z75" s="1154"/>
    </row>
    <row r="76" spans="1:26" outlineLevel="1">
      <c r="A76" s="1305" t="s">
        <v>907</v>
      </c>
      <c r="B76" s="1306"/>
      <c r="C76" s="1307"/>
      <c r="D76" s="1314"/>
      <c r="E76" s="1314"/>
      <c r="F76" s="1314"/>
      <c r="G76" s="1300"/>
      <c r="H76" s="1320" t="e">
        <f>H74-H75</f>
        <v>#VALUE!</v>
      </c>
      <c r="I76" s="1154"/>
      <c r="J76" s="1154"/>
      <c r="K76" s="1154"/>
      <c r="L76" s="1154"/>
      <c r="M76" s="1154"/>
      <c r="N76" s="1154"/>
      <c r="O76" s="1154"/>
      <c r="P76" s="1154"/>
      <c r="Q76" s="1154"/>
      <c r="R76" s="1154"/>
      <c r="S76" s="1154"/>
      <c r="T76" s="1154"/>
      <c r="U76" s="1154"/>
      <c r="V76" s="1154"/>
      <c r="W76" s="1154"/>
      <c r="X76" s="1154"/>
      <c r="Y76" s="1154"/>
      <c r="Z76" s="1154"/>
    </row>
    <row r="77" spans="1:26" outlineLevel="1">
      <c r="A77" s="1297"/>
      <c r="B77" s="1298"/>
      <c r="C77" s="1298"/>
      <c r="D77" s="1299"/>
      <c r="E77" s="1299"/>
      <c r="F77" s="1299"/>
      <c r="G77" s="1300"/>
      <c r="H77" s="1309"/>
      <c r="I77" s="1154"/>
      <c r="J77" s="1154"/>
      <c r="K77" s="1154"/>
      <c r="L77" s="1154"/>
      <c r="M77" s="1154"/>
      <c r="N77" s="1154"/>
      <c r="O77" s="1154"/>
      <c r="P77" s="1154"/>
      <c r="Q77" s="1154"/>
      <c r="R77" s="1154"/>
      <c r="S77" s="1154"/>
      <c r="T77" s="1154"/>
      <c r="U77" s="1154"/>
      <c r="V77" s="1154"/>
      <c r="W77" s="1154"/>
      <c r="X77" s="1154"/>
      <c r="Y77" s="1154"/>
      <c r="Z77" s="1154"/>
    </row>
    <row r="78" spans="1:26" ht="15" outlineLevel="1">
      <c r="A78" s="1322" t="s">
        <v>908</v>
      </c>
      <c r="B78" s="1323"/>
      <c r="C78" s="1324"/>
      <c r="D78" s="1325"/>
      <c r="E78" s="1325"/>
      <c r="F78" s="1325"/>
      <c r="G78" s="1326"/>
      <c r="H78" s="1327"/>
      <c r="I78" s="1154"/>
      <c r="J78" s="1154"/>
      <c r="K78" s="1154"/>
      <c r="L78" s="1154"/>
      <c r="M78" s="1154"/>
      <c r="N78" s="1154"/>
      <c r="O78" s="1154"/>
      <c r="P78" s="1154"/>
      <c r="Q78" s="1154"/>
      <c r="R78" s="1154"/>
      <c r="S78" s="1154"/>
      <c r="T78" s="1154"/>
      <c r="U78" s="1154"/>
      <c r="V78" s="1154"/>
      <c r="W78" s="1154"/>
      <c r="X78" s="1154"/>
      <c r="Y78" s="1154"/>
      <c r="Z78" s="1154"/>
    </row>
    <row r="79" spans="1:26" outlineLevel="1">
      <c r="A79" s="1305" t="s">
        <v>909</v>
      </c>
      <c r="B79" s="1306"/>
      <c r="C79" s="1307"/>
      <c r="D79" s="1314"/>
      <c r="E79" s="1314"/>
      <c r="F79" s="1314"/>
      <c r="G79" s="1300"/>
      <c r="H79" s="1315" t="e">
        <f>ROUND(H69*H74,2)</f>
        <v>#VALUE!</v>
      </c>
      <c r="I79" s="1154"/>
      <c r="J79" s="1154"/>
      <c r="K79" s="1154"/>
      <c r="L79" s="1154"/>
      <c r="M79" s="1154"/>
      <c r="N79" s="1154"/>
      <c r="O79" s="1154"/>
      <c r="P79" s="1154"/>
      <c r="Q79" s="1154"/>
      <c r="R79" s="1154"/>
      <c r="S79" s="1154"/>
      <c r="T79" s="1154"/>
      <c r="U79" s="1154"/>
      <c r="V79" s="1154"/>
      <c r="W79" s="1154"/>
      <c r="X79" s="1154"/>
      <c r="Y79" s="1154"/>
      <c r="Z79" s="1154"/>
    </row>
    <row r="80" spans="1:26" outlineLevel="1">
      <c r="A80" s="1305" t="s">
        <v>910</v>
      </c>
      <c r="B80" s="1306"/>
      <c r="C80" s="1307"/>
      <c r="D80" s="1314"/>
      <c r="E80" s="1314"/>
      <c r="F80" s="1314"/>
      <c r="G80" s="1300"/>
      <c r="H80" s="1315" t="e">
        <f>ROUND(H68*H75,2)</f>
        <v>#VALUE!</v>
      </c>
      <c r="I80" s="1154"/>
      <c r="J80" s="1154"/>
      <c r="K80" s="1154"/>
      <c r="L80" s="1154"/>
      <c r="M80" s="1154"/>
      <c r="N80" s="1154"/>
      <c r="O80" s="1154"/>
      <c r="P80" s="1154"/>
      <c r="Q80" s="1154"/>
      <c r="R80" s="1154"/>
      <c r="S80" s="1154"/>
      <c r="T80" s="1154"/>
      <c r="U80" s="1154"/>
      <c r="V80" s="1154"/>
      <c r="W80" s="1154"/>
      <c r="X80" s="1154"/>
      <c r="Y80" s="1154"/>
      <c r="Z80" s="1154"/>
    </row>
    <row r="81" spans="1:26" outlineLevel="1">
      <c r="A81" s="1305" t="s">
        <v>911</v>
      </c>
      <c r="B81" s="1306"/>
      <c r="C81" s="1307"/>
      <c r="D81" s="1314"/>
      <c r="E81" s="1314"/>
      <c r="F81" s="1314"/>
      <c r="G81" s="1300"/>
      <c r="H81" s="1315" t="e">
        <f>H79+H80</f>
        <v>#VALUE!</v>
      </c>
      <c r="I81" s="1154"/>
      <c r="J81" s="1154"/>
      <c r="K81" s="1154"/>
      <c r="L81" s="1154"/>
      <c r="M81" s="1154"/>
      <c r="N81" s="1154"/>
      <c r="O81" s="1154"/>
      <c r="P81" s="1154"/>
      <c r="Q81" s="1154"/>
      <c r="R81" s="1154"/>
      <c r="S81" s="1154"/>
      <c r="T81" s="1154"/>
      <c r="U81" s="1154"/>
      <c r="V81" s="1154"/>
      <c r="W81" s="1154"/>
      <c r="X81" s="1154"/>
      <c r="Y81" s="1154"/>
      <c r="Z81" s="1154"/>
    </row>
    <row r="82" spans="1:26" outlineLevel="1">
      <c r="A82" s="1305" t="s">
        <v>903</v>
      </c>
      <c r="B82" s="1306"/>
      <c r="C82" s="1307"/>
      <c r="D82" s="1314"/>
      <c r="E82" s="1314"/>
      <c r="F82" s="1314"/>
      <c r="G82" s="1300"/>
      <c r="H82" s="1315" t="e">
        <f>H71</f>
        <v>#VALUE!</v>
      </c>
      <c r="I82" s="1154"/>
      <c r="J82" s="1154"/>
      <c r="K82" s="1154"/>
      <c r="L82" s="1154"/>
      <c r="M82" s="1154"/>
      <c r="N82" s="1154"/>
      <c r="O82" s="1154"/>
      <c r="P82" s="1154"/>
      <c r="Q82" s="1154"/>
      <c r="R82" s="1154"/>
      <c r="S82" s="1154"/>
      <c r="T82" s="1154"/>
      <c r="U82" s="1154"/>
      <c r="V82" s="1154"/>
      <c r="W82" s="1154"/>
      <c r="X82" s="1154"/>
      <c r="Y82" s="1154"/>
      <c r="Z82" s="1154"/>
    </row>
    <row r="83" spans="1:26" outlineLevel="1">
      <c r="A83" s="1305" t="s">
        <v>222</v>
      </c>
      <c r="B83" s="1306"/>
      <c r="C83" s="1307"/>
      <c r="D83" s="1314"/>
      <c r="E83" s="1314"/>
      <c r="F83" s="1314"/>
      <c r="G83" s="1300"/>
      <c r="H83" s="1320" t="e">
        <f>H81-H82</f>
        <v>#VALUE!</v>
      </c>
      <c r="I83" s="1154"/>
      <c r="J83" s="1154"/>
      <c r="K83" s="1154"/>
      <c r="L83" s="1154"/>
      <c r="M83" s="1154"/>
      <c r="N83" s="1154"/>
      <c r="O83" s="1154"/>
      <c r="P83" s="1154"/>
      <c r="Q83" s="1154"/>
      <c r="R83" s="1154"/>
      <c r="S83" s="1154"/>
      <c r="T83" s="1154"/>
      <c r="U83" s="1154"/>
      <c r="V83" s="1154"/>
      <c r="W83" s="1154"/>
      <c r="X83" s="1154"/>
      <c r="Y83" s="1154"/>
      <c r="Z83" s="1154"/>
    </row>
    <row r="84" spans="1:26" ht="13.5" outlineLevel="1" thickBot="1">
      <c r="A84" s="1328" t="s">
        <v>912</v>
      </c>
      <c r="B84" s="1329"/>
      <c r="C84" s="1330"/>
      <c r="D84" s="1331"/>
      <c r="E84" s="1331"/>
      <c r="F84" s="1331"/>
      <c r="G84" s="1332"/>
      <c r="H84" s="1333" t="e">
        <f>H83/H67</f>
        <v>#VALUE!</v>
      </c>
      <c r="I84" s="1154"/>
      <c r="J84" s="1154"/>
      <c r="K84" s="1154"/>
      <c r="L84" s="1154"/>
      <c r="M84" s="1154"/>
      <c r="N84" s="1154"/>
      <c r="O84" s="1154"/>
      <c r="P84" s="1154"/>
      <c r="Q84" s="1154"/>
      <c r="R84" s="1154"/>
      <c r="S84" s="1154"/>
      <c r="T84" s="1154"/>
      <c r="U84" s="1154"/>
      <c r="V84" s="1154"/>
      <c r="W84" s="1154"/>
      <c r="X84" s="1154"/>
      <c r="Y84" s="1154"/>
      <c r="Z84" s="1154"/>
    </row>
    <row r="85" spans="1:26" outlineLevel="1">
      <c r="A85" s="1154"/>
      <c r="B85" s="1154"/>
      <c r="C85" s="1154"/>
      <c r="D85" s="1154"/>
      <c r="E85" s="1154"/>
      <c r="F85" s="1154"/>
      <c r="G85" s="1154"/>
      <c r="H85" s="1154"/>
      <c r="I85" s="1154"/>
      <c r="J85" s="1154"/>
      <c r="K85" s="1154"/>
      <c r="L85" s="1154"/>
      <c r="M85" s="1154"/>
      <c r="N85" s="1154"/>
      <c r="O85" s="1154"/>
      <c r="P85" s="1154"/>
      <c r="Q85" s="1154"/>
      <c r="R85" s="1154"/>
      <c r="S85" s="1154"/>
      <c r="T85" s="1154"/>
      <c r="U85" s="1154"/>
      <c r="V85" s="1154"/>
      <c r="W85" s="1154"/>
      <c r="X85" s="1154"/>
      <c r="Y85" s="1154"/>
      <c r="Z85" s="1154"/>
    </row>
    <row r="86" spans="1:26">
      <c r="A86" s="1154"/>
      <c r="B86" s="1154"/>
      <c r="C86" s="1154"/>
      <c r="D86" s="1154"/>
      <c r="E86" s="1154"/>
      <c r="F86" s="1154"/>
      <c r="G86" s="1154"/>
      <c r="H86" s="1154"/>
      <c r="I86" s="1154"/>
      <c r="J86" s="1154"/>
      <c r="K86" s="1154"/>
      <c r="L86" s="1154"/>
      <c r="M86" s="1154"/>
      <c r="N86" s="1154"/>
      <c r="O86" s="1154"/>
      <c r="P86" s="1154"/>
      <c r="Q86" s="1154"/>
      <c r="R86" s="1154"/>
      <c r="S86" s="1154"/>
      <c r="T86" s="1154"/>
      <c r="U86" s="1154"/>
      <c r="V86" s="1154"/>
      <c r="W86" s="1154"/>
      <c r="X86" s="1154"/>
      <c r="Y86" s="1154"/>
      <c r="Z86" s="1154"/>
    </row>
    <row r="87" spans="1:26">
      <c r="A87" s="1154"/>
      <c r="B87" s="1154"/>
      <c r="C87" s="1154"/>
      <c r="D87" s="1154"/>
      <c r="E87" s="1154"/>
      <c r="F87" s="1154"/>
      <c r="G87" s="1154"/>
      <c r="H87" s="1154"/>
      <c r="I87" s="1154"/>
      <c r="J87" s="1154"/>
      <c r="K87" s="1154"/>
      <c r="L87" s="1154"/>
      <c r="M87" s="1154"/>
      <c r="N87" s="1154"/>
      <c r="O87" s="1154"/>
      <c r="P87" s="1154"/>
      <c r="Q87" s="1154"/>
      <c r="R87" s="1154"/>
      <c r="S87" s="1154"/>
      <c r="T87" s="1154"/>
      <c r="U87" s="1154"/>
      <c r="V87" s="1154"/>
      <c r="W87" s="1154"/>
      <c r="X87" s="1154"/>
      <c r="Y87" s="1154"/>
      <c r="Z87" s="1154"/>
    </row>
    <row r="88" spans="1:26">
      <c r="A88" s="1154"/>
      <c r="B88" s="1154"/>
      <c r="C88" s="1154"/>
      <c r="D88" s="1154"/>
      <c r="E88" s="1154"/>
      <c r="F88" s="1154"/>
      <c r="G88" s="1154"/>
      <c r="H88" s="1154"/>
      <c r="I88" s="1154"/>
      <c r="J88" s="1154"/>
      <c r="K88" s="1154"/>
      <c r="L88" s="1154"/>
      <c r="M88" s="1154"/>
      <c r="N88" s="1154"/>
      <c r="O88" s="1154"/>
      <c r="P88" s="1154"/>
      <c r="Q88" s="1154"/>
      <c r="R88" s="1154"/>
      <c r="S88" s="1154"/>
      <c r="T88" s="1154"/>
      <c r="U88" s="1154"/>
      <c r="V88" s="1154"/>
      <c r="W88" s="1154"/>
      <c r="X88" s="1154"/>
      <c r="Y88" s="1154"/>
      <c r="Z88" s="1154"/>
    </row>
    <row r="89" spans="1:26">
      <c r="A89" s="1154"/>
      <c r="B89" s="1154"/>
      <c r="C89" s="1154"/>
      <c r="D89" s="1154"/>
      <c r="E89" s="1154"/>
      <c r="F89" s="1154"/>
      <c r="G89" s="1154"/>
      <c r="H89" s="1154"/>
      <c r="I89" s="1154"/>
      <c r="J89" s="1154"/>
      <c r="K89" s="1154"/>
      <c r="L89" s="1154"/>
      <c r="M89" s="1154"/>
      <c r="N89" s="1154"/>
      <c r="O89" s="1154"/>
      <c r="P89" s="1154"/>
      <c r="Q89" s="1154"/>
      <c r="R89" s="1154"/>
      <c r="S89" s="1154"/>
      <c r="T89" s="1154"/>
      <c r="U89" s="1154"/>
      <c r="V89" s="1154"/>
      <c r="W89" s="1154"/>
      <c r="X89" s="1154"/>
      <c r="Y89" s="1154"/>
      <c r="Z89" s="1154"/>
    </row>
    <row r="90" spans="1:26">
      <c r="A90" s="1154"/>
      <c r="B90" s="1154"/>
      <c r="C90" s="1154"/>
      <c r="D90" s="1154"/>
      <c r="E90" s="1154"/>
      <c r="F90" s="1154"/>
      <c r="G90" s="1154"/>
      <c r="H90" s="1154"/>
      <c r="I90" s="1154"/>
      <c r="J90" s="1154"/>
      <c r="K90" s="1154"/>
      <c r="L90" s="1154"/>
      <c r="M90" s="1154"/>
      <c r="N90" s="1154"/>
      <c r="O90" s="1154"/>
      <c r="P90" s="1154"/>
      <c r="Q90" s="1154"/>
      <c r="R90" s="1154"/>
      <c r="S90" s="1154"/>
      <c r="T90" s="1154"/>
      <c r="U90" s="1154"/>
      <c r="V90" s="1154"/>
      <c r="W90" s="1154"/>
      <c r="X90" s="1154"/>
      <c r="Y90" s="1154"/>
      <c r="Z90" s="1154"/>
    </row>
    <row r="91" spans="1:26">
      <c r="A91" s="1154"/>
      <c r="B91" s="1154"/>
      <c r="C91" s="1154"/>
      <c r="D91" s="1154"/>
      <c r="E91" s="1154"/>
      <c r="F91" s="1154"/>
      <c r="G91" s="1154"/>
      <c r="H91" s="1154"/>
      <c r="I91" s="1154"/>
      <c r="J91" s="1154"/>
      <c r="K91" s="1154"/>
      <c r="L91" s="1154"/>
      <c r="M91" s="1154"/>
      <c r="N91" s="1154"/>
      <c r="O91" s="1154"/>
      <c r="P91" s="1154"/>
      <c r="Q91" s="1154"/>
      <c r="R91" s="1154"/>
      <c r="S91" s="1154"/>
      <c r="T91" s="1154"/>
      <c r="U91" s="1154"/>
      <c r="V91" s="1154"/>
      <c r="W91" s="1154"/>
      <c r="X91" s="1154"/>
      <c r="Y91" s="1154"/>
      <c r="Z91" s="1154"/>
    </row>
    <row r="92" spans="1:26">
      <c r="A92" s="1154"/>
      <c r="B92" s="1154"/>
      <c r="C92" s="1154"/>
      <c r="D92" s="1154"/>
      <c r="E92" s="1154"/>
      <c r="F92" s="1154"/>
      <c r="G92" s="1154"/>
      <c r="H92" s="1154"/>
      <c r="I92" s="1154"/>
      <c r="J92" s="1154"/>
      <c r="K92" s="1154"/>
      <c r="L92" s="1154"/>
      <c r="M92" s="1154"/>
      <c r="N92" s="1154"/>
      <c r="O92" s="1154"/>
      <c r="P92" s="1154"/>
      <c r="Q92" s="1154"/>
      <c r="R92" s="1154"/>
      <c r="S92" s="1154"/>
      <c r="T92" s="1154"/>
      <c r="U92" s="1154"/>
      <c r="V92" s="1154"/>
      <c r="W92" s="1154"/>
      <c r="X92" s="1154"/>
      <c r="Y92" s="1154"/>
      <c r="Z92" s="1154"/>
    </row>
    <row r="93" spans="1:26">
      <c r="A93" s="1154"/>
      <c r="B93" s="1154"/>
      <c r="C93" s="1154"/>
      <c r="D93" s="1154"/>
      <c r="E93" s="1154"/>
      <c r="F93" s="1154"/>
      <c r="G93" s="1154"/>
      <c r="H93" s="1154"/>
      <c r="I93" s="1154"/>
      <c r="J93" s="1154"/>
      <c r="K93" s="1154"/>
      <c r="L93" s="1154"/>
      <c r="M93" s="1154"/>
      <c r="N93" s="1154"/>
      <c r="O93" s="1154"/>
      <c r="P93" s="1154"/>
      <c r="Q93" s="1154"/>
      <c r="R93" s="1154"/>
      <c r="S93" s="1154"/>
      <c r="T93" s="1154"/>
      <c r="U93" s="1154"/>
      <c r="V93" s="1154"/>
      <c r="W93" s="1154"/>
      <c r="X93" s="1154"/>
      <c r="Y93" s="1154"/>
      <c r="Z93" s="1154"/>
    </row>
    <row r="94" spans="1:26">
      <c r="A94" s="1154"/>
      <c r="B94" s="1154"/>
      <c r="C94" s="1154"/>
      <c r="D94" s="1154"/>
      <c r="E94" s="1154"/>
      <c r="F94" s="1154"/>
      <c r="G94" s="1154"/>
      <c r="H94" s="1154"/>
      <c r="I94" s="1154"/>
      <c r="J94" s="1154"/>
      <c r="K94" s="1154"/>
      <c r="L94" s="1154"/>
      <c r="M94" s="1154"/>
      <c r="N94" s="1154"/>
      <c r="O94" s="1154"/>
      <c r="P94" s="1154"/>
      <c r="Q94" s="1154"/>
      <c r="R94" s="1154"/>
      <c r="S94" s="1154"/>
      <c r="T94" s="1154"/>
      <c r="U94" s="1154"/>
      <c r="V94" s="1154"/>
      <c r="W94" s="1154"/>
      <c r="X94" s="1154"/>
      <c r="Y94" s="1154"/>
      <c r="Z94" s="1154"/>
    </row>
    <row r="95" spans="1:26">
      <c r="A95" s="1154"/>
      <c r="B95" s="1154"/>
      <c r="C95" s="1154"/>
      <c r="D95" s="1154"/>
      <c r="E95" s="1154"/>
      <c r="F95" s="1154"/>
      <c r="G95" s="1154"/>
      <c r="H95" s="1154"/>
      <c r="I95" s="1154"/>
      <c r="J95" s="1154"/>
      <c r="K95" s="1154"/>
      <c r="L95" s="1154"/>
      <c r="M95" s="1154"/>
      <c r="N95" s="1154"/>
      <c r="O95" s="1154"/>
      <c r="P95" s="1154"/>
      <c r="Q95" s="1154"/>
      <c r="R95" s="1154"/>
      <c r="S95" s="1154"/>
      <c r="T95" s="1154"/>
      <c r="U95" s="1154"/>
      <c r="V95" s="1154"/>
      <c r="W95" s="1154"/>
      <c r="X95" s="1154"/>
      <c r="Y95" s="1154"/>
      <c r="Z95" s="1154"/>
    </row>
    <row r="96" spans="1:26">
      <c r="A96" s="1154"/>
      <c r="B96" s="1154"/>
      <c r="C96" s="1154"/>
      <c r="D96" s="1154"/>
      <c r="E96" s="1154"/>
      <c r="F96" s="1154"/>
      <c r="G96" s="1154"/>
      <c r="H96" s="1154"/>
      <c r="I96" s="1154"/>
      <c r="J96" s="1154"/>
      <c r="K96" s="1154"/>
      <c r="L96" s="1154"/>
      <c r="M96" s="1154"/>
      <c r="N96" s="1154"/>
      <c r="O96" s="1154"/>
      <c r="P96" s="1154"/>
      <c r="Q96" s="1154"/>
      <c r="R96" s="1154"/>
      <c r="S96" s="1154"/>
      <c r="T96" s="1154"/>
      <c r="U96" s="1154"/>
      <c r="V96" s="1154"/>
      <c r="W96" s="1154"/>
      <c r="X96" s="1154"/>
      <c r="Y96" s="1154"/>
      <c r="Z96" s="1154"/>
    </row>
    <row r="97" spans="1:26">
      <c r="A97" s="1154"/>
      <c r="B97" s="1154"/>
      <c r="C97" s="1154"/>
      <c r="D97" s="1154"/>
      <c r="E97" s="1154"/>
      <c r="F97" s="1154"/>
      <c r="G97" s="1154"/>
      <c r="H97" s="1154"/>
      <c r="I97" s="1154"/>
      <c r="J97" s="1154"/>
      <c r="K97" s="1154"/>
      <c r="L97" s="1154"/>
      <c r="M97" s="1154"/>
      <c r="N97" s="1154"/>
      <c r="O97" s="1154"/>
      <c r="P97" s="1154"/>
      <c r="Q97" s="1154"/>
      <c r="R97" s="1154"/>
      <c r="S97" s="1154"/>
      <c r="T97" s="1154"/>
      <c r="U97" s="1154"/>
      <c r="V97" s="1154"/>
      <c r="W97" s="1154"/>
      <c r="X97" s="1154"/>
      <c r="Y97" s="1154"/>
      <c r="Z97" s="1154"/>
    </row>
    <row r="98" spans="1:26">
      <c r="A98" s="1154"/>
      <c r="B98" s="1154"/>
      <c r="C98" s="1154"/>
      <c r="D98" s="1154"/>
      <c r="E98" s="1154"/>
      <c r="F98" s="1154"/>
      <c r="G98" s="1154"/>
      <c r="H98" s="1154"/>
      <c r="I98" s="1154"/>
      <c r="J98" s="1154"/>
      <c r="K98" s="1154"/>
      <c r="L98" s="1154"/>
      <c r="M98" s="1154"/>
      <c r="N98" s="1154"/>
      <c r="O98" s="1154"/>
      <c r="P98" s="1154"/>
      <c r="Q98" s="1154"/>
      <c r="R98" s="1154"/>
      <c r="S98" s="1154"/>
      <c r="T98" s="1154"/>
      <c r="U98" s="1154"/>
      <c r="V98" s="1154"/>
      <c r="W98" s="1154"/>
      <c r="X98" s="1154"/>
      <c r="Y98" s="1154"/>
      <c r="Z98" s="1154"/>
    </row>
    <row r="99" spans="1:26">
      <c r="A99" s="1154"/>
      <c r="B99" s="1154"/>
      <c r="C99" s="1154"/>
      <c r="D99" s="1154"/>
      <c r="E99" s="1154"/>
      <c r="F99" s="1154"/>
      <c r="G99" s="1154"/>
      <c r="H99" s="1154"/>
      <c r="I99" s="1154"/>
      <c r="J99" s="1154"/>
      <c r="K99" s="1154"/>
      <c r="L99" s="1154"/>
      <c r="M99" s="1154"/>
      <c r="N99" s="1154"/>
      <c r="O99" s="1154"/>
      <c r="P99" s="1154"/>
      <c r="Q99" s="1154"/>
      <c r="R99" s="1154"/>
      <c r="S99" s="1154"/>
      <c r="T99" s="1154"/>
      <c r="U99" s="1154"/>
      <c r="V99" s="1154"/>
      <c r="W99" s="1154"/>
      <c r="X99" s="1154"/>
      <c r="Y99" s="1154"/>
      <c r="Z99" s="1154"/>
    </row>
    <row r="100" spans="1:26">
      <c r="A100" s="1154"/>
      <c r="B100" s="1154"/>
      <c r="C100" s="1154"/>
      <c r="D100" s="1154"/>
      <c r="E100" s="1154"/>
      <c r="F100" s="1154"/>
      <c r="G100" s="1154"/>
      <c r="H100" s="1154"/>
      <c r="I100" s="1154"/>
      <c r="J100" s="1154"/>
      <c r="K100" s="1154"/>
      <c r="L100" s="1154"/>
      <c r="M100" s="1154"/>
      <c r="N100" s="1154"/>
      <c r="O100" s="1154"/>
      <c r="P100" s="1154"/>
      <c r="Q100" s="1154"/>
      <c r="R100" s="1154"/>
      <c r="S100" s="1154"/>
      <c r="T100" s="1154"/>
      <c r="U100" s="1154"/>
      <c r="V100" s="1154"/>
      <c r="W100" s="1154"/>
      <c r="X100" s="1154"/>
      <c r="Y100" s="1154"/>
      <c r="Z100" s="1154"/>
    </row>
    <row r="101" spans="1:26">
      <c r="A101" s="1154"/>
      <c r="B101" s="1154"/>
      <c r="C101" s="1154"/>
      <c r="D101" s="1154"/>
      <c r="E101" s="1154"/>
      <c r="F101" s="1154"/>
      <c r="G101" s="1154"/>
      <c r="H101" s="1154"/>
      <c r="I101" s="1154"/>
      <c r="J101" s="1154"/>
      <c r="K101" s="1154"/>
      <c r="L101" s="1154"/>
      <c r="M101" s="1154"/>
      <c r="N101" s="1154"/>
      <c r="O101" s="1154"/>
      <c r="P101" s="1154"/>
      <c r="Q101" s="1154"/>
      <c r="R101" s="1154"/>
      <c r="S101" s="1154"/>
      <c r="T101" s="1154"/>
      <c r="U101" s="1154"/>
      <c r="V101" s="1154"/>
      <c r="W101" s="1154"/>
      <c r="X101" s="1154"/>
      <c r="Y101" s="1154"/>
      <c r="Z101" s="1154"/>
    </row>
    <row r="102" spans="1:26">
      <c r="A102" s="1154"/>
      <c r="B102" s="1154"/>
      <c r="C102" s="1154"/>
      <c r="D102" s="1154"/>
      <c r="E102" s="1154"/>
      <c r="F102" s="1154"/>
      <c r="G102" s="1154"/>
      <c r="H102" s="1154"/>
      <c r="I102" s="1154"/>
      <c r="J102" s="1154"/>
      <c r="K102" s="1154"/>
      <c r="L102" s="1154"/>
      <c r="M102" s="1154"/>
      <c r="N102" s="1154"/>
      <c r="O102" s="1154"/>
      <c r="P102" s="1154"/>
      <c r="Q102" s="1154"/>
      <c r="R102" s="1154"/>
      <c r="S102" s="1154"/>
      <c r="T102" s="1154"/>
      <c r="U102" s="1154"/>
      <c r="V102" s="1154"/>
      <c r="W102" s="1154"/>
      <c r="X102" s="1154"/>
      <c r="Y102" s="1154"/>
      <c r="Z102" s="1154"/>
    </row>
    <row r="103" spans="1:26">
      <c r="A103" s="1154"/>
      <c r="B103" s="1154"/>
      <c r="C103" s="1154"/>
      <c r="D103" s="1154"/>
      <c r="E103" s="1154"/>
      <c r="F103" s="1154"/>
      <c r="G103" s="1154"/>
      <c r="H103" s="1154"/>
      <c r="I103" s="1154"/>
      <c r="J103" s="1154"/>
      <c r="K103" s="1154"/>
      <c r="L103" s="1154"/>
      <c r="M103" s="1154"/>
      <c r="N103" s="1154"/>
      <c r="O103" s="1154"/>
      <c r="P103" s="1154"/>
      <c r="Q103" s="1154"/>
      <c r="R103" s="1154"/>
      <c r="S103" s="1154"/>
      <c r="T103" s="1154"/>
      <c r="U103" s="1154"/>
      <c r="V103" s="1154"/>
      <c r="W103" s="1154"/>
      <c r="X103" s="1154"/>
      <c r="Y103" s="1154"/>
      <c r="Z103" s="1154"/>
    </row>
    <row r="104" spans="1:26">
      <c r="A104" s="1154"/>
      <c r="B104" s="1154"/>
      <c r="C104" s="1154"/>
      <c r="D104" s="1154"/>
      <c r="E104" s="1154"/>
      <c r="F104" s="1154"/>
      <c r="G104" s="1154"/>
      <c r="H104" s="1154"/>
      <c r="I104" s="1154"/>
      <c r="J104" s="1154"/>
      <c r="K104" s="1154"/>
      <c r="L104" s="1154"/>
      <c r="M104" s="1154"/>
      <c r="N104" s="1154"/>
      <c r="O104" s="1154"/>
      <c r="P104" s="1154"/>
      <c r="Q104" s="1154"/>
      <c r="R104" s="1154"/>
      <c r="S104" s="1154"/>
      <c r="T104" s="1154"/>
      <c r="U104" s="1154"/>
      <c r="V104" s="1154"/>
      <c r="W104" s="1154"/>
      <c r="X104" s="1154"/>
      <c r="Y104" s="1154"/>
      <c r="Z104" s="1154"/>
    </row>
    <row r="105" spans="1:26">
      <c r="A105" s="1154"/>
      <c r="B105" s="1154"/>
      <c r="C105" s="1154"/>
      <c r="D105" s="1154"/>
      <c r="E105" s="1154"/>
      <c r="F105" s="1154"/>
      <c r="G105" s="1154"/>
      <c r="H105" s="1154"/>
      <c r="I105" s="1154"/>
      <c r="J105" s="1154"/>
      <c r="K105" s="1154"/>
      <c r="L105" s="1154"/>
      <c r="M105" s="1154"/>
      <c r="N105" s="1154"/>
      <c r="O105" s="1154"/>
      <c r="P105" s="1154"/>
      <c r="Q105" s="1154"/>
      <c r="R105" s="1154"/>
      <c r="S105" s="1154"/>
      <c r="T105" s="1154"/>
      <c r="U105" s="1154"/>
      <c r="V105" s="1154"/>
      <c r="W105" s="1154"/>
      <c r="X105" s="1154"/>
      <c r="Y105" s="1154"/>
      <c r="Z105" s="1154"/>
    </row>
    <row r="106" spans="1:26">
      <c r="A106" s="1154"/>
      <c r="B106" s="1154"/>
      <c r="C106" s="1154"/>
      <c r="D106" s="1154"/>
      <c r="E106" s="1154"/>
      <c r="F106" s="1154"/>
      <c r="G106" s="1154"/>
      <c r="H106" s="1154"/>
      <c r="I106" s="1154"/>
      <c r="J106" s="1154"/>
      <c r="K106" s="1154"/>
      <c r="L106" s="1154"/>
      <c r="M106" s="1154"/>
      <c r="N106" s="1154"/>
      <c r="O106" s="1154"/>
      <c r="P106" s="1154"/>
      <c r="Q106" s="1154"/>
      <c r="R106" s="1154"/>
      <c r="S106" s="1154"/>
      <c r="T106" s="1154"/>
      <c r="U106" s="1154"/>
      <c r="V106" s="1154"/>
      <c r="W106" s="1154"/>
      <c r="X106" s="1154"/>
      <c r="Y106" s="1154"/>
      <c r="Z106" s="1154"/>
    </row>
    <row r="107" spans="1:26">
      <c r="A107" s="1154"/>
      <c r="B107" s="1154"/>
      <c r="C107" s="1154"/>
      <c r="D107" s="1154"/>
      <c r="E107" s="1154"/>
      <c r="F107" s="1154"/>
      <c r="G107" s="1154"/>
      <c r="H107" s="1154"/>
      <c r="I107" s="1154"/>
      <c r="J107" s="1154"/>
      <c r="K107" s="1154"/>
      <c r="L107" s="1154"/>
      <c r="M107" s="1154"/>
      <c r="N107" s="1154"/>
      <c r="O107" s="1154"/>
      <c r="P107" s="1154"/>
      <c r="Q107" s="1154"/>
      <c r="R107" s="1154"/>
      <c r="S107" s="1154"/>
      <c r="T107" s="1154"/>
      <c r="U107" s="1154"/>
      <c r="V107" s="1154"/>
      <c r="W107" s="1154"/>
      <c r="X107" s="1154"/>
      <c r="Y107" s="1154"/>
      <c r="Z107" s="1154"/>
    </row>
    <row r="108" spans="1:26">
      <c r="A108" s="1154"/>
      <c r="B108" s="1154"/>
      <c r="C108" s="1154"/>
      <c r="D108" s="1154"/>
      <c r="E108" s="1154"/>
      <c r="F108" s="1154"/>
      <c r="G108" s="1154"/>
      <c r="H108" s="1154"/>
      <c r="I108" s="1154"/>
      <c r="J108" s="1154"/>
      <c r="K108" s="1154"/>
      <c r="L108" s="1154"/>
      <c r="M108" s="1154"/>
      <c r="N108" s="1154"/>
      <c r="O108" s="1154"/>
      <c r="P108" s="1154"/>
      <c r="Q108" s="1154"/>
      <c r="R108" s="1154"/>
      <c r="S108" s="1154"/>
      <c r="T108" s="1154"/>
      <c r="U108" s="1154"/>
      <c r="V108" s="1154"/>
      <c r="W108" s="1154"/>
      <c r="X108" s="1154"/>
      <c r="Y108" s="1154"/>
      <c r="Z108" s="1154"/>
    </row>
    <row r="109" spans="1:26">
      <c r="A109" s="1154"/>
      <c r="B109" s="1154"/>
      <c r="C109" s="1154"/>
      <c r="D109" s="1154"/>
      <c r="E109" s="1154"/>
      <c r="F109" s="1154"/>
      <c r="G109" s="1154"/>
      <c r="H109" s="1154"/>
      <c r="I109" s="1154"/>
      <c r="J109" s="1154"/>
      <c r="K109" s="1154"/>
      <c r="L109" s="1154"/>
      <c r="M109" s="1154"/>
      <c r="N109" s="1154"/>
      <c r="O109" s="1154"/>
      <c r="P109" s="1154"/>
      <c r="Q109" s="1154"/>
      <c r="R109" s="1154"/>
      <c r="S109" s="1154"/>
      <c r="T109" s="1154"/>
      <c r="U109" s="1154"/>
      <c r="V109" s="1154"/>
      <c r="W109" s="1154"/>
      <c r="X109" s="1154"/>
      <c r="Y109" s="1154"/>
      <c r="Z109" s="1154"/>
    </row>
  </sheetData>
  <mergeCells count="16">
    <mergeCell ref="B30:C30"/>
    <mergeCell ref="A1:G1"/>
    <mergeCell ref="A2:I2"/>
    <mergeCell ref="G5:I5"/>
    <mergeCell ref="A29:D29"/>
    <mergeCell ref="H29:I29"/>
    <mergeCell ref="F24:G24"/>
    <mergeCell ref="A61:H61"/>
    <mergeCell ref="H36:I36"/>
    <mergeCell ref="A37:D37"/>
    <mergeCell ref="B38:C38"/>
    <mergeCell ref="A39:B39"/>
    <mergeCell ref="A40:B40"/>
    <mergeCell ref="A41:B41"/>
    <mergeCell ref="A44:B44"/>
    <mergeCell ref="H41:I41"/>
  </mergeCells>
  <conditionalFormatting sqref="A79:H79">
    <cfRule type="expression" dxfId="289" priority="39" stopIfTrue="1">
      <formula>OR($H$1="COE",$H$1="DO")</formula>
    </cfRule>
  </conditionalFormatting>
  <conditionalFormatting sqref="A80:H80">
    <cfRule type="expression" dxfId="288" priority="40" stopIfTrue="1">
      <formula>OR($H$1="BOR",$H$1="DO")</formula>
    </cfRule>
  </conditionalFormatting>
  <conditionalFormatting sqref="A81:H81">
    <cfRule type="expression" dxfId="287" priority="41" stopIfTrue="1">
      <formula>OR($H$1="BOR",$H$1="COE")</formula>
    </cfRule>
  </conditionalFormatting>
  <conditionalFormatting sqref="I10:I12">
    <cfRule type="expression" dxfId="286" priority="45">
      <formula>$G$5="ja"</formula>
    </cfRule>
  </conditionalFormatting>
  <conditionalFormatting sqref="F10:I12 F9:H9">
    <cfRule type="expression" dxfId="285" priority="35">
      <formula>$F$5="Variante 1"</formula>
    </cfRule>
  </conditionalFormatting>
  <conditionalFormatting sqref="D13:D14 I13:I16 D41">
    <cfRule type="containsErrors" dxfId="284" priority="32">
      <formula>ISERROR(D13)</formula>
    </cfRule>
  </conditionalFormatting>
  <conditionalFormatting sqref="C19:C23 D20:D23 D25:D26 H19:H23">
    <cfRule type="containsErrors" dxfId="283" priority="31">
      <formula>ISERROR(C19)</formula>
    </cfRule>
  </conditionalFormatting>
  <conditionalFormatting sqref="H25:H27">
    <cfRule type="containsErrors" dxfId="282" priority="28">
      <formula>ISERROR(H25)</formula>
    </cfRule>
  </conditionalFormatting>
  <conditionalFormatting sqref="H37:H38">
    <cfRule type="cellIs" dxfId="281" priority="26" operator="equal">
      <formula>0</formula>
    </cfRule>
    <cfRule type="containsErrors" dxfId="280" priority="27">
      <formula>ISERROR(H37)</formula>
    </cfRule>
  </conditionalFormatting>
  <conditionalFormatting sqref="H39">
    <cfRule type="cellIs" dxfId="279" priority="24" operator="equal">
      <formula>0</formula>
    </cfRule>
    <cfRule type="containsErrors" dxfId="278" priority="48">
      <formula>ISERROR(H39)</formula>
    </cfRule>
  </conditionalFormatting>
  <conditionalFormatting sqref="F19">
    <cfRule type="containsErrors" dxfId="277" priority="23">
      <formula>ISERROR(F19)</formula>
    </cfRule>
  </conditionalFormatting>
  <conditionalFormatting sqref="A26">
    <cfRule type="containsErrors" dxfId="276" priority="20">
      <formula>ISERROR(A26)</formula>
    </cfRule>
  </conditionalFormatting>
  <conditionalFormatting sqref="H28">
    <cfRule type="containsErrors" dxfId="275" priority="18">
      <formula>ISERROR(H28)</formula>
    </cfRule>
    <cfRule type="containsErrors" dxfId="274" priority="19">
      <formula>ISERROR(H28)</formula>
    </cfRule>
  </conditionalFormatting>
  <conditionalFormatting sqref="I28">
    <cfRule type="expression" dxfId="273" priority="15">
      <formula>ISERROR($H$70)</formula>
    </cfRule>
    <cfRule type="expression" dxfId="272" priority="16">
      <formula>$H$70=""</formula>
    </cfRule>
    <cfRule type="expression" dxfId="271" priority="17">
      <formula>$H$70=0</formula>
    </cfRule>
  </conditionalFormatting>
  <conditionalFormatting sqref="J24">
    <cfRule type="containsErrors" dxfId="270" priority="14">
      <formula>ISERROR(J24)</formula>
    </cfRule>
  </conditionalFormatting>
  <conditionalFormatting sqref="A17">
    <cfRule type="containsErrors" dxfId="269" priority="11">
      <formula>ISERROR(A17)</formula>
    </cfRule>
  </conditionalFormatting>
  <conditionalFormatting sqref="C42">
    <cfRule type="containsErrors" dxfId="268" priority="50">
      <formula>ISERROR(C42)</formula>
    </cfRule>
  </conditionalFormatting>
  <conditionalFormatting sqref="C32:C34">
    <cfRule type="containsErrors" dxfId="267" priority="9">
      <formula>ISERROR(C32)</formula>
    </cfRule>
  </conditionalFormatting>
  <conditionalFormatting sqref="I9">
    <cfRule type="expression" dxfId="266" priority="8">
      <formula>$G$5="ja"</formula>
    </cfRule>
  </conditionalFormatting>
  <conditionalFormatting sqref="I9">
    <cfRule type="expression" dxfId="265" priority="7">
      <formula>$F$5="Variante 1"</formula>
    </cfRule>
  </conditionalFormatting>
  <conditionalFormatting sqref="H24">
    <cfRule type="containsErrors" dxfId="264" priority="6">
      <formula>ISERROR(H24)</formula>
    </cfRule>
  </conditionalFormatting>
  <conditionalFormatting sqref="J11">
    <cfRule type="expression" dxfId="263" priority="4">
      <formula>$G$5="ja"</formula>
    </cfRule>
  </conditionalFormatting>
  <conditionalFormatting sqref="J11">
    <cfRule type="expression" dxfId="262" priority="3">
      <formula>$F$5="Variante 1"</formula>
    </cfRule>
  </conditionalFormatting>
  <conditionalFormatting sqref="J13:J14">
    <cfRule type="containsErrors" dxfId="261" priority="2">
      <formula>ISERROR(J13)</formula>
    </cfRule>
  </conditionalFormatting>
  <conditionalFormatting sqref="J19:J23">
    <cfRule type="containsErrors" dxfId="260" priority="1">
      <formula>ISERROR(J19)</formula>
    </cfRule>
  </conditionalFormatting>
  <printOptions horizontalCentered="1"/>
  <pageMargins left="0.78740157480314965" right="0.78740157480314965" top="0.98425196850393704" bottom="0.98425196850393704" header="0.51181102362204722" footer="0.51181102362204722"/>
  <pageSetup paperSize="9" scale="79" orientation="landscape"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1" id="{AC4610B7-E476-4C21-A27B-D53607FA6F5E}">
            <xm:f>'Copy &amp; Paste'!$F$28=""</xm:f>
            <x14:dxf>
              <font>
                <color theme="0"/>
              </font>
            </x14:dxf>
          </x14:cfRule>
          <x14:cfRule type="expression" priority="22" id="{4E8357D7-27D6-4F85-867D-74D67A908672}">
            <xm:f>'Copy &amp; Paste'!$F$28=0</xm:f>
            <x14:dxf>
              <font>
                <color theme="0"/>
              </font>
            </x14:dxf>
          </x14:cfRule>
          <xm:sqref>A26</xm:sqref>
        </x14:conditionalFormatting>
        <x14:conditionalFormatting xmlns:xm="http://schemas.microsoft.com/office/excel/2006/main">
          <x14:cfRule type="expression" priority="12" id="{48892434-C6A0-46AD-98D3-ED09D1C58173}">
            <xm:f>'Copy &amp; Paste'!$I$1&lt;&gt;"BEK Schade"</xm:f>
            <x14:dxf>
              <font>
                <color theme="0" tint="-0.24994659260841701"/>
              </font>
              <border>
                <left/>
                <top/>
                <bottom/>
                <vertical/>
                <horizontal/>
              </border>
            </x14:dxf>
          </x14:cfRule>
          <xm:sqref>H41:I43</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H53"/>
  <sheetViews>
    <sheetView workbookViewId="0">
      <selection sqref="A1:B27"/>
    </sheetView>
  </sheetViews>
  <sheetFormatPr baseColWidth="10" defaultRowHeight="12.75"/>
  <sheetData>
    <row r="1" spans="1:2">
      <c r="A1" s="29">
        <v>2014</v>
      </c>
      <c r="B1" s="30">
        <v>365</v>
      </c>
    </row>
    <row r="2" spans="1:2">
      <c r="A2" s="29">
        <v>2015</v>
      </c>
      <c r="B2" s="30">
        <v>365</v>
      </c>
    </row>
    <row r="3" spans="1:2">
      <c r="A3" s="29">
        <v>2016</v>
      </c>
      <c r="B3" s="31">
        <v>366</v>
      </c>
    </row>
    <row r="4" spans="1:2">
      <c r="A4" s="29">
        <v>2017</v>
      </c>
      <c r="B4" s="30">
        <v>365</v>
      </c>
    </row>
    <row r="5" spans="1:2">
      <c r="A5" s="29">
        <v>2018</v>
      </c>
      <c r="B5" s="30">
        <v>365</v>
      </c>
    </row>
    <row r="6" spans="1:2">
      <c r="A6" s="29">
        <v>2019</v>
      </c>
      <c r="B6" s="30">
        <v>365</v>
      </c>
    </row>
    <row r="7" spans="1:2">
      <c r="A7" s="29">
        <v>2020</v>
      </c>
      <c r="B7" s="31">
        <v>366</v>
      </c>
    </row>
    <row r="8" spans="1:2">
      <c r="A8" s="29">
        <v>2021</v>
      </c>
      <c r="B8" s="30">
        <v>365</v>
      </c>
    </row>
    <row r="9" spans="1:2">
      <c r="A9" s="29">
        <v>2022</v>
      </c>
      <c r="B9" s="30">
        <v>365</v>
      </c>
    </row>
    <row r="10" spans="1:2">
      <c r="A10" s="29">
        <v>2023</v>
      </c>
      <c r="B10" s="30">
        <v>365</v>
      </c>
    </row>
    <row r="11" spans="1:2">
      <c r="A11" s="29">
        <v>2024</v>
      </c>
      <c r="B11" s="31">
        <v>366</v>
      </c>
    </row>
    <row r="12" spans="1:2">
      <c r="A12" s="29">
        <v>2025</v>
      </c>
      <c r="B12" s="30">
        <v>365</v>
      </c>
    </row>
    <row r="13" spans="1:2">
      <c r="A13" s="29">
        <v>2026</v>
      </c>
      <c r="B13" s="30">
        <v>365</v>
      </c>
    </row>
    <row r="14" spans="1:2">
      <c r="A14" s="29">
        <v>2027</v>
      </c>
      <c r="B14" s="30">
        <v>365</v>
      </c>
    </row>
    <row r="15" spans="1:2">
      <c r="A15" s="29">
        <v>2028</v>
      </c>
      <c r="B15" s="31">
        <v>366</v>
      </c>
    </row>
    <row r="16" spans="1:2">
      <c r="A16" s="29">
        <v>2029</v>
      </c>
      <c r="B16" s="30">
        <v>365</v>
      </c>
    </row>
    <row r="17" spans="1:8">
      <c r="A17" s="29">
        <v>2030</v>
      </c>
      <c r="B17" s="30">
        <v>365</v>
      </c>
    </row>
    <row r="18" spans="1:8">
      <c r="A18" s="29">
        <v>2031</v>
      </c>
      <c r="B18" s="30">
        <v>365</v>
      </c>
    </row>
    <row r="19" spans="1:8">
      <c r="A19" s="29">
        <v>2032</v>
      </c>
      <c r="B19" s="31">
        <v>366</v>
      </c>
    </row>
    <row r="20" spans="1:8">
      <c r="A20" s="29">
        <v>2033</v>
      </c>
      <c r="B20" s="30">
        <v>365</v>
      </c>
    </row>
    <row r="21" spans="1:8">
      <c r="A21" s="29">
        <v>2034</v>
      </c>
      <c r="B21" s="30">
        <v>365</v>
      </c>
    </row>
    <row r="22" spans="1:8">
      <c r="A22" s="29">
        <v>2035</v>
      </c>
      <c r="B22" s="30">
        <v>365</v>
      </c>
    </row>
    <row r="23" spans="1:8">
      <c r="A23" s="29">
        <v>2036</v>
      </c>
      <c r="B23" s="31">
        <v>366</v>
      </c>
    </row>
    <row r="24" spans="1:8">
      <c r="A24" s="29">
        <v>2037</v>
      </c>
      <c r="B24" s="30">
        <v>365</v>
      </c>
    </row>
    <row r="25" spans="1:8">
      <c r="A25" s="29">
        <v>2038</v>
      </c>
      <c r="B25" s="30">
        <v>365</v>
      </c>
    </row>
    <row r="26" spans="1:8">
      <c r="A26" s="29">
        <v>2039</v>
      </c>
      <c r="B26" s="30">
        <v>365</v>
      </c>
    </row>
    <row r="27" spans="1:8">
      <c r="A27" s="29">
        <v>2040</v>
      </c>
      <c r="B27" s="31">
        <v>366</v>
      </c>
    </row>
    <row r="30" spans="1:8" ht="14.25">
      <c r="A30" s="32" t="s">
        <v>897</v>
      </c>
    </row>
    <row r="31" spans="1:8">
      <c r="F31" s="14" t="s">
        <v>913</v>
      </c>
      <c r="H31" s="14" t="s">
        <v>843</v>
      </c>
    </row>
    <row r="32" spans="1:8" ht="14.25">
      <c r="A32" s="32"/>
      <c r="B32" s="33"/>
      <c r="C32" s="34"/>
      <c r="D32" s="34"/>
      <c r="E32" s="34"/>
      <c r="F32" s="35"/>
    </row>
    <row r="33" spans="1:8">
      <c r="A33" s="33" t="s">
        <v>241</v>
      </c>
      <c r="B33" s="33"/>
      <c r="C33" s="34"/>
      <c r="D33" s="34"/>
      <c r="E33" s="34"/>
      <c r="F33" s="34" t="str">
        <f>Platzzahl</f>
        <v/>
      </c>
      <c r="H33" t="str">
        <f>F33</f>
        <v/>
      </c>
    </row>
    <row r="34" spans="1:8">
      <c r="A34" s="33" t="s">
        <v>898</v>
      </c>
      <c r="B34" s="33"/>
      <c r="C34" s="34"/>
      <c r="D34" s="36"/>
      <c r="E34" s="34"/>
      <c r="F34" s="36" t="e">
        <f>#REF!</f>
        <v>#REF!</v>
      </c>
      <c r="H34" s="49">
        <f>Ergebnis!F57</f>
        <v>0</v>
      </c>
    </row>
    <row r="35" spans="1:8">
      <c r="A35" s="33" t="s">
        <v>33</v>
      </c>
      <c r="B35" s="33"/>
      <c r="C35" s="34"/>
      <c r="D35" s="37"/>
      <c r="E35" s="34"/>
      <c r="F35" s="38">
        <f>Auslastung</f>
        <v>0.98</v>
      </c>
      <c r="H35" s="50">
        <f>Auslastung</f>
        <v>0.98</v>
      </c>
    </row>
    <row r="36" spans="1:8">
      <c r="A36" s="33" t="s">
        <v>899</v>
      </c>
      <c r="B36" s="33"/>
      <c r="C36" s="34"/>
      <c r="D36" s="39"/>
      <c r="E36" s="34"/>
      <c r="F36" s="39" t="e">
        <f>Berechnungstage</f>
        <v>#VALUE!</v>
      </c>
      <c r="H36" t="e">
        <f>Berechnungstage</f>
        <v>#VALUE!</v>
      </c>
    </row>
    <row r="37" spans="1:8">
      <c r="A37" s="33" t="s">
        <v>900</v>
      </c>
      <c r="B37" s="33"/>
      <c r="C37" s="34"/>
      <c r="D37" s="39"/>
      <c r="E37" s="34"/>
      <c r="F37" s="40" t="e">
        <f>F34*F35*365</f>
        <v>#REF!</v>
      </c>
      <c r="H37" s="49">
        <f>H34*H35*365</f>
        <v>0</v>
      </c>
    </row>
    <row r="38" spans="1:8">
      <c r="A38" s="33" t="s">
        <v>901</v>
      </c>
      <c r="B38" s="33"/>
      <c r="C38" s="34"/>
      <c r="D38" s="39"/>
      <c r="E38" s="34"/>
      <c r="F38" s="40" t="e">
        <f>F36-F37</f>
        <v>#VALUE!</v>
      </c>
      <c r="H38" s="49" t="e">
        <f>H36-H37</f>
        <v>#VALUE!</v>
      </c>
    </row>
    <row r="39" spans="1:8">
      <c r="A39" s="33" t="s">
        <v>902</v>
      </c>
      <c r="B39" s="33"/>
      <c r="C39" s="34"/>
      <c r="D39" s="39"/>
      <c r="E39" s="34"/>
      <c r="F39" s="41" t="e">
        <f>#REF!</f>
        <v>#REF!</v>
      </c>
      <c r="H39" s="52" t="str">
        <f>IF(ISERROR(Ergebnis!J57),"0",Ergebnis!J57)</f>
        <v>0</v>
      </c>
    </row>
    <row r="40" spans="1:8">
      <c r="A40" s="33" t="s">
        <v>903</v>
      </c>
      <c r="B40" s="33"/>
      <c r="C40" s="34"/>
      <c r="D40" s="39"/>
      <c r="E40" s="34"/>
      <c r="F40" s="42" t="e">
        <f>F39*F36</f>
        <v>#REF!</v>
      </c>
      <c r="H40" t="e">
        <f>H39*H36</f>
        <v>#VALUE!</v>
      </c>
    </row>
    <row r="41" spans="1:8">
      <c r="A41" s="33" t="s">
        <v>904</v>
      </c>
      <c r="B41" s="33"/>
      <c r="C41" s="34"/>
      <c r="D41" s="43"/>
      <c r="E41" s="34"/>
      <c r="F41" s="43">
        <v>0.14499999999999999</v>
      </c>
      <c r="H41" s="16">
        <v>0.14499999999999999</v>
      </c>
    </row>
    <row r="42" spans="1:8">
      <c r="A42" s="33" t="s">
        <v>905</v>
      </c>
      <c r="B42" s="33"/>
      <c r="C42" s="34"/>
      <c r="D42" s="39"/>
      <c r="E42" s="34"/>
      <c r="F42" s="39" t="e">
        <f>ROUND(((F36/(F38+F37*(1-F41))-1)*F39),2)</f>
        <v>#VALUE!</v>
      </c>
      <c r="H42" s="49" t="e">
        <f>ROUND(((H36/(H38+H37*(1-H41))-1)*H39),2)</f>
        <v>#VALUE!</v>
      </c>
    </row>
    <row r="43" spans="1:8">
      <c r="A43" s="33" t="s">
        <v>756</v>
      </c>
      <c r="B43" s="33"/>
      <c r="C43" s="34"/>
      <c r="D43" s="39"/>
      <c r="E43" s="34"/>
      <c r="F43" s="39" t="e">
        <f>F39+F42</f>
        <v>#REF!</v>
      </c>
      <c r="H43" s="51" t="e">
        <f>H39+H42</f>
        <v>#VALUE!</v>
      </c>
    </row>
    <row r="44" spans="1:8">
      <c r="A44" s="33" t="s">
        <v>906</v>
      </c>
      <c r="B44" s="33"/>
      <c r="C44" s="34"/>
      <c r="D44" s="39"/>
      <c r="E44" s="34"/>
      <c r="F44" s="39" t="e">
        <f>ROUND(F43*(1-F41),2)</f>
        <v>#REF!</v>
      </c>
      <c r="H44" s="49" t="e">
        <f>ROUND(H43*(1-H41),2)</f>
        <v>#VALUE!</v>
      </c>
    </row>
    <row r="45" spans="1:8">
      <c r="A45" s="33" t="s">
        <v>907</v>
      </c>
      <c r="B45" s="33"/>
      <c r="C45" s="34"/>
      <c r="D45" s="39"/>
      <c r="E45" s="34"/>
      <c r="F45" s="39" t="e">
        <f>F43-F44</f>
        <v>#REF!</v>
      </c>
      <c r="H45" s="51" t="e">
        <f>H43-H44</f>
        <v>#VALUE!</v>
      </c>
    </row>
    <row r="46" spans="1:8">
      <c r="A46" s="44"/>
      <c r="B46" s="44"/>
      <c r="C46" s="44"/>
      <c r="D46" s="44"/>
      <c r="E46" s="44"/>
      <c r="F46" s="44"/>
    </row>
    <row r="47" spans="1:8" ht="14.25">
      <c r="A47" s="45" t="s">
        <v>908</v>
      </c>
      <c r="B47" s="35"/>
      <c r="C47" s="46"/>
      <c r="D47" s="46"/>
      <c r="E47" s="46"/>
      <c r="F47" s="46"/>
    </row>
    <row r="48" spans="1:8">
      <c r="A48" s="33" t="s">
        <v>909</v>
      </c>
      <c r="B48" s="33"/>
      <c r="C48" s="34"/>
      <c r="D48" s="39"/>
      <c r="E48" s="34"/>
      <c r="F48" s="40" t="e">
        <f>ROUND(F38*F43,2)</f>
        <v>#VALUE!</v>
      </c>
      <c r="H48" s="40" t="e">
        <f>ROUND(H38*H43,2)</f>
        <v>#VALUE!</v>
      </c>
    </row>
    <row r="49" spans="1:8">
      <c r="A49" s="33" t="s">
        <v>910</v>
      </c>
      <c r="B49" s="33"/>
      <c r="C49" s="34"/>
      <c r="D49" s="39"/>
      <c r="E49" s="34"/>
      <c r="F49" s="40" t="e">
        <f>ROUND(F37*F44,2)</f>
        <v>#REF!</v>
      </c>
      <c r="H49" s="40" t="e">
        <f>ROUND(H37*H44,2)</f>
        <v>#VALUE!</v>
      </c>
    </row>
    <row r="50" spans="1:8">
      <c r="A50" s="33" t="s">
        <v>911</v>
      </c>
      <c r="B50" s="33"/>
      <c r="C50" s="34"/>
      <c r="D50" s="39"/>
      <c r="E50" s="34"/>
      <c r="F50" s="40" t="e">
        <f>F48+F49</f>
        <v>#VALUE!</v>
      </c>
      <c r="H50" s="40" t="e">
        <f>H48+H49</f>
        <v>#VALUE!</v>
      </c>
    </row>
    <row r="51" spans="1:8">
      <c r="A51" s="33" t="s">
        <v>903</v>
      </c>
      <c r="B51" s="33"/>
      <c r="C51" s="34"/>
      <c r="D51" s="39"/>
      <c r="E51" s="34"/>
      <c r="F51" s="40" t="e">
        <f>F40</f>
        <v>#REF!</v>
      </c>
      <c r="H51" s="40" t="e">
        <f>H40</f>
        <v>#VALUE!</v>
      </c>
    </row>
    <row r="52" spans="1:8">
      <c r="A52" s="33" t="s">
        <v>222</v>
      </c>
      <c r="B52" s="33"/>
      <c r="C52" s="34"/>
      <c r="D52" s="39"/>
      <c r="E52" s="34"/>
      <c r="F52" s="39" t="e">
        <f>F50-F51</f>
        <v>#VALUE!</v>
      </c>
      <c r="H52" s="39" t="e">
        <f>H50-H51</f>
        <v>#VALUE!</v>
      </c>
    </row>
    <row r="53" spans="1:8">
      <c r="A53" s="33" t="s">
        <v>912</v>
      </c>
      <c r="B53" s="33"/>
      <c r="C53" s="34"/>
      <c r="D53" s="39"/>
      <c r="E53" s="47"/>
      <c r="F53" s="48" t="e">
        <f>F52/F36</f>
        <v>#VALUE!</v>
      </c>
      <c r="H53" s="48" t="e">
        <f>H52/H36</f>
        <v>#VALUE!</v>
      </c>
    </row>
  </sheetData>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AD142"/>
  <sheetViews>
    <sheetView view="pageBreakPreview" topLeftCell="A67" zoomScaleNormal="100" zoomScaleSheetLayoutView="100" workbookViewId="0">
      <selection activeCell="A83" sqref="A83"/>
    </sheetView>
  </sheetViews>
  <sheetFormatPr baseColWidth="10" defaultColWidth="11.42578125" defaultRowHeight="15" outlineLevelRow="1"/>
  <cols>
    <col min="1" max="1" width="46.5703125" style="1336" customWidth="1"/>
    <col min="2" max="6" width="18.42578125" style="1336" customWidth="1"/>
    <col min="7" max="7" width="16.28515625" style="1336" customWidth="1"/>
    <col min="8" max="16384" width="11.42578125" style="1336"/>
  </cols>
  <sheetData>
    <row r="1" spans="1:30">
      <c r="A1" s="4528" t="e">
        <f>IF('Copy &amp; Paste'!B14="nein","Vergütungsprotokoll der Verhandlung vom "&amp;TEXT(#REF!,"TT.MM.JJJJ"),"Protokoll des Antrages auf pauschale Fortschreibung")</f>
        <v>#REF!</v>
      </c>
      <c r="B1" s="4529"/>
      <c r="C1" s="4529"/>
      <c r="D1" s="4529"/>
      <c r="E1" s="4529"/>
      <c r="F1" s="4530"/>
      <c r="G1" s="1334"/>
      <c r="H1" s="1334"/>
      <c r="I1" s="1334"/>
      <c r="J1" s="1335"/>
      <c r="K1" s="1335"/>
      <c r="L1" s="1335"/>
      <c r="M1" s="1335"/>
      <c r="N1" s="1335"/>
      <c r="O1" s="1335"/>
      <c r="P1" s="1335"/>
      <c r="Q1" s="1335"/>
      <c r="R1" s="1335"/>
      <c r="S1" s="1335"/>
      <c r="T1" s="1335"/>
      <c r="U1" s="1335"/>
      <c r="V1" s="1335"/>
      <c r="W1" s="1335"/>
      <c r="X1" s="1335"/>
      <c r="Y1" s="1335"/>
      <c r="Z1" s="1335"/>
      <c r="AC1" s="1337">
        <v>2</v>
      </c>
      <c r="AD1" s="1337" t="s">
        <v>1301</v>
      </c>
    </row>
    <row r="2" spans="1:30">
      <c r="A2" s="4531" t="str">
        <f>IF('Copy &amp; Paste'!B14="nein","über die Vergütung der Leistungen der","der Vergütung der Leistungen der")&amp;IF('Copy &amp; Paste'!H12=""," vollstationären Pflege"," vollstationären Pflege und der eingestreuten Kurzzeitpflege")</f>
        <v>über die Vergütung der Leistungen der vollstationären Pflege</v>
      </c>
      <c r="B2" s="4532"/>
      <c r="C2" s="4532"/>
      <c r="D2" s="4532"/>
      <c r="E2" s="4532"/>
      <c r="F2" s="4533"/>
      <c r="G2" s="1334"/>
      <c r="H2" s="1334"/>
      <c r="I2" s="1334"/>
      <c r="J2" s="1335"/>
      <c r="K2" s="1335"/>
      <c r="L2" s="1335"/>
      <c r="M2" s="1335"/>
      <c r="N2" s="1335"/>
      <c r="O2" s="1335"/>
      <c r="P2" s="1335"/>
      <c r="Q2" s="1335"/>
      <c r="R2" s="1335"/>
      <c r="S2" s="1335"/>
      <c r="T2" s="1335"/>
      <c r="U2" s="1335"/>
      <c r="V2" s="1335"/>
      <c r="W2" s="1335"/>
      <c r="X2" s="1335"/>
      <c r="Y2" s="1335"/>
      <c r="Z2" s="1335"/>
      <c r="AC2" s="1337">
        <v>3</v>
      </c>
      <c r="AD2" s="1337" t="s">
        <v>1302</v>
      </c>
    </row>
    <row r="3" spans="1:30" ht="15.75" thickBot="1">
      <c r="A3" s="1338"/>
      <c r="B3" s="4534"/>
      <c r="C3" s="4534"/>
      <c r="D3" s="4534"/>
      <c r="E3" s="1339"/>
      <c r="F3" s="1340"/>
      <c r="G3" s="1334"/>
      <c r="H3" s="1334"/>
      <c r="I3" s="1334"/>
      <c r="J3" s="1335"/>
      <c r="K3" s="1335"/>
      <c r="L3" s="1335"/>
      <c r="M3" s="1335"/>
      <c r="N3" s="1335"/>
      <c r="O3" s="1335"/>
      <c r="P3" s="1335"/>
      <c r="Q3" s="1335"/>
      <c r="R3" s="1335"/>
      <c r="S3" s="1335"/>
      <c r="T3" s="1335"/>
      <c r="U3" s="1335"/>
      <c r="V3" s="1335"/>
      <c r="W3" s="1335"/>
      <c r="X3" s="1335"/>
      <c r="Y3" s="1335"/>
      <c r="Z3" s="1335"/>
      <c r="AC3" s="1337">
        <v>4</v>
      </c>
      <c r="AD3" s="1337" t="s">
        <v>1303</v>
      </c>
    </row>
    <row r="4" spans="1:30" ht="19.5" thickBot="1">
      <c r="A4" s="4535" t="s">
        <v>78</v>
      </c>
      <c r="B4" s="4536"/>
      <c r="C4" s="1341" t="s">
        <v>120</v>
      </c>
      <c r="D4" s="4536" t="s">
        <v>10</v>
      </c>
      <c r="E4" s="4536"/>
      <c r="F4" s="4537"/>
      <c r="G4" s="1334"/>
      <c r="H4" s="1334"/>
      <c r="I4" s="1334"/>
      <c r="J4" s="1335"/>
      <c r="K4" s="1335"/>
      <c r="L4" s="1335"/>
      <c r="M4" s="1335"/>
      <c r="N4" s="1335"/>
      <c r="O4" s="1335"/>
      <c r="P4" s="1335"/>
      <c r="Q4" s="1335"/>
      <c r="R4" s="1335"/>
      <c r="S4" s="1335"/>
      <c r="T4" s="1335"/>
      <c r="U4" s="1335"/>
      <c r="V4" s="1335"/>
      <c r="W4" s="1335"/>
      <c r="X4" s="1335"/>
      <c r="Y4" s="1335"/>
      <c r="Z4" s="1335"/>
      <c r="AC4" s="1337">
        <v>5</v>
      </c>
      <c r="AD4" s="1337" t="s">
        <v>1304</v>
      </c>
    </row>
    <row r="5" spans="1:30" ht="18.75" customHeight="1" thickBot="1">
      <c r="A5" s="4538">
        <f>IF('Copy &amp; Paste'!B6="",'Copy &amp; Paste'!B5,CONCATENATE('Copy &amp; Paste'!B5,", - ",'Copy &amp; Paste'!B6,"- , "))</f>
        <v>0</v>
      </c>
      <c r="B5" s="4539"/>
      <c r="C5" s="1342">
        <f>IK</f>
        <v>0</v>
      </c>
      <c r="D5" s="4539" t="str">
        <f>CONCATENATE(Träger," ",Träger2)</f>
        <v xml:space="preserve"> </v>
      </c>
      <c r="E5" s="4539"/>
      <c r="F5" s="4540"/>
      <c r="G5" s="1334"/>
      <c r="H5" s="1334"/>
      <c r="I5" s="1334"/>
      <c r="J5" s="1335"/>
      <c r="K5" s="1335"/>
      <c r="L5" s="1335"/>
      <c r="M5" s="1335"/>
      <c r="N5" s="1335"/>
      <c r="O5" s="1335"/>
      <c r="P5" s="1335"/>
      <c r="Q5" s="1335"/>
      <c r="R5" s="1335"/>
      <c r="S5" s="1335"/>
      <c r="T5" s="1335"/>
      <c r="U5" s="1335"/>
      <c r="V5" s="1335"/>
      <c r="W5" s="1335"/>
      <c r="X5" s="1335"/>
      <c r="Y5" s="1335"/>
      <c r="Z5" s="1335" t="e">
        <f>CONCATENATE("TP"," ",Name," ",'Seite 1'!D8)&amp;" "&amp;TEXT(#REF!,"JJJJ")</f>
        <v>#REF!</v>
      </c>
      <c r="AC5" s="1337">
        <v>6</v>
      </c>
      <c r="AD5" s="1337" t="s">
        <v>1305</v>
      </c>
    </row>
    <row r="6" spans="1:30" ht="19.5" thickBot="1">
      <c r="A6" s="1343" t="str">
        <f>'Seite 1'!$C$7</f>
        <v/>
      </c>
      <c r="B6" s="1334"/>
      <c r="C6" s="1341" t="s">
        <v>1262</v>
      </c>
      <c r="D6" s="1334" t="str">
        <f>'Seite 1'!F7</f>
        <v/>
      </c>
      <c r="E6" s="1334"/>
      <c r="F6" s="1344"/>
      <c r="G6" s="1334"/>
      <c r="H6" s="1334"/>
      <c r="I6" s="1334"/>
      <c r="J6" s="1335"/>
      <c r="K6" s="1335"/>
      <c r="L6" s="1335"/>
      <c r="M6" s="1335"/>
      <c r="N6" s="1335"/>
      <c r="O6" s="1335"/>
      <c r="P6" s="1335"/>
      <c r="Q6" s="1335"/>
      <c r="R6" s="1335"/>
      <c r="S6" s="1335"/>
      <c r="T6" s="1335"/>
      <c r="U6" s="1335"/>
      <c r="V6" s="1335"/>
      <c r="W6" s="1335"/>
      <c r="X6" s="1335"/>
      <c r="Y6" s="1335"/>
      <c r="Z6" s="1335"/>
      <c r="AC6" s="1337">
        <v>7</v>
      </c>
      <c r="AD6" s="1337" t="s">
        <v>1306</v>
      </c>
    </row>
    <row r="7" spans="1:30" ht="18.75" customHeight="1" thickBot="1">
      <c r="A7" s="1345" t="str">
        <f>CONCATENATE('Seite 1'!$C$8," ",'Seite 1'!$D$8)</f>
        <v xml:space="preserve"> </v>
      </c>
      <c r="B7" s="1346"/>
      <c r="C7" s="1347">
        <f>'Copy &amp; Paste'!B15</f>
        <v>0</v>
      </c>
      <c r="D7" s="1346" t="str">
        <f>CONCATENATE('Seite 1'!F8," ",'Seite 1'!G8)</f>
        <v xml:space="preserve"> </v>
      </c>
      <c r="E7" s="1346"/>
      <c r="F7" s="1348"/>
      <c r="G7" s="1334"/>
      <c r="H7" s="1334"/>
      <c r="I7" s="1334"/>
      <c r="J7" s="1335"/>
      <c r="K7" s="1335"/>
      <c r="L7" s="1335"/>
      <c r="M7" s="1335"/>
      <c r="N7" s="1335"/>
      <c r="O7" s="1335"/>
      <c r="P7" s="1335"/>
      <c r="Q7" s="1335"/>
      <c r="R7" s="1335"/>
      <c r="S7" s="1335"/>
      <c r="T7" s="1335"/>
      <c r="U7" s="1335"/>
      <c r="V7" s="1335"/>
      <c r="W7" s="1335"/>
      <c r="X7" s="1335"/>
      <c r="Y7" s="1335"/>
      <c r="Z7" s="1335"/>
      <c r="AC7" s="1337">
        <v>8</v>
      </c>
      <c r="AD7" s="1337" t="s">
        <v>1307</v>
      </c>
    </row>
    <row r="8" spans="1:30" ht="18.75" customHeight="1" thickBot="1">
      <c r="A8" s="1349" t="str">
        <f>'Copy &amp; Paste'!$H$11&amp;" vollstationäre Pflegeplätze"&amp;IF('Copy &amp; Paste'!H12="","",IF('Copy &amp; Paste'!H12=1,", davon Gesamtkontingent 1 eingestreuter KzP-Platz",", davon Gesamtkontingent "&amp;'Copy &amp; Paste'!H12&amp;" eingestreute KzP-Plätze"))&amp;IF('Copy &amp; Paste'!I12=0,"",IF('Copy &amp; Paste'!I12=1,", darin "&amp;'Copy &amp; Paste'!I12&amp;" fester KzP-Platz",", darin "&amp;'Copy &amp; Paste'!I12&amp;" feste KzP-Plätze"))</f>
        <v xml:space="preserve"> vollstationäre Pflegeplätze</v>
      </c>
      <c r="B8" s="1350"/>
      <c r="C8" s="1350"/>
      <c r="D8" s="1350"/>
      <c r="E8" s="1350"/>
      <c r="F8" s="1340"/>
      <c r="G8" s="1334"/>
      <c r="H8" s="1334"/>
      <c r="I8" s="1334"/>
      <c r="J8" s="1335"/>
      <c r="K8" s="1335"/>
      <c r="L8" s="1335"/>
      <c r="M8" s="1335"/>
      <c r="N8" s="1335"/>
      <c r="O8" s="1335"/>
      <c r="P8" s="1335"/>
      <c r="Q8" s="1335"/>
      <c r="R8" s="1335"/>
      <c r="S8" s="1335"/>
      <c r="T8" s="1335"/>
      <c r="U8" s="1335"/>
      <c r="V8" s="1335"/>
      <c r="W8" s="1335"/>
      <c r="X8" s="1335"/>
      <c r="Y8" s="1335"/>
      <c r="Z8" s="1335"/>
      <c r="AC8" s="1337">
        <v>9</v>
      </c>
      <c r="AD8" s="1337" t="s">
        <v>1308</v>
      </c>
    </row>
    <row r="9" spans="1:30" ht="16.5" thickBot="1">
      <c r="A9" s="1351"/>
      <c r="B9" s="1352"/>
      <c r="C9" s="1352"/>
      <c r="D9" s="1352"/>
      <c r="E9" s="1352"/>
      <c r="F9" s="1353"/>
      <c r="G9" s="1335"/>
      <c r="H9" s="1335"/>
      <c r="I9" s="1335"/>
      <c r="J9" s="1335"/>
      <c r="K9" s="1335"/>
      <c r="L9" s="1335"/>
      <c r="M9" s="1335"/>
      <c r="N9" s="1335"/>
      <c r="O9" s="1335"/>
      <c r="P9" s="1335"/>
      <c r="Q9" s="1335"/>
      <c r="R9" s="1335"/>
      <c r="S9" s="1335"/>
      <c r="T9" s="1335"/>
      <c r="U9" s="1335"/>
      <c r="V9" s="1335"/>
      <c r="W9" s="1335"/>
      <c r="X9" s="1335"/>
      <c r="Y9" s="1335"/>
      <c r="Z9" s="1335"/>
      <c r="AC9" s="1337">
        <v>10</v>
      </c>
      <c r="AD9" s="1337" t="s">
        <v>1309</v>
      </c>
    </row>
    <row r="10" spans="1:30" ht="19.5" thickBot="1">
      <c r="A10" s="1354" t="str">
        <f ca="1">"Stand: "&amp;TEXT(NOW(),"TT.MM.JJJJ, HH:MM")</f>
        <v>Stand: 03.04.2025, 14:26</v>
      </c>
      <c r="B10" s="4535" t="s">
        <v>981</v>
      </c>
      <c r="C10" s="4536"/>
      <c r="D10" s="4537"/>
      <c r="E10" s="1352"/>
      <c r="F10" s="1355"/>
      <c r="G10" s="1335"/>
      <c r="H10" s="1335"/>
      <c r="I10" s="1335"/>
      <c r="J10" s="1335"/>
      <c r="K10" s="1335"/>
      <c r="L10" s="1335"/>
      <c r="M10" s="1335"/>
      <c r="N10" s="1335"/>
      <c r="O10" s="1335"/>
      <c r="P10" s="1335"/>
      <c r="Q10" s="1335"/>
      <c r="R10" s="1335"/>
      <c r="S10" s="1335"/>
      <c r="T10" s="1335"/>
      <c r="U10" s="1335"/>
      <c r="V10" s="1335"/>
      <c r="W10" s="1335"/>
      <c r="X10" s="1335"/>
      <c r="Y10" s="1335"/>
      <c r="Z10" s="1335"/>
      <c r="AC10" s="1337">
        <v>11</v>
      </c>
      <c r="AD10" s="1337" t="s">
        <v>1310</v>
      </c>
    </row>
    <row r="11" spans="1:30" ht="16.5" thickBot="1">
      <c r="A11" s="1351"/>
      <c r="B11" s="1356">
        <f>IF('Copy &amp; Paste'!B14="ja",Pauschal!D3,Ergebnis!H2)</f>
        <v>45717</v>
      </c>
      <c r="C11" s="1357" t="s">
        <v>21</v>
      </c>
      <c r="D11" s="1358">
        <f>IF('Copy &amp; Paste'!B14="ja",Pauschal!G3,Ergebnis!H3)</f>
        <v>46081</v>
      </c>
      <c r="E11" s="1352"/>
      <c r="F11" s="1355"/>
      <c r="G11" s="1335"/>
      <c r="H11" s="1335"/>
      <c r="I11" s="1335"/>
      <c r="J11" s="1335"/>
      <c r="K11" s="1335"/>
      <c r="L11" s="1335"/>
      <c r="M11" s="1335"/>
      <c r="N11" s="1335"/>
      <c r="O11" s="1335"/>
      <c r="P11" s="1335"/>
      <c r="Q11" s="1335"/>
      <c r="R11" s="1335"/>
      <c r="S11" s="1335"/>
      <c r="T11" s="1335"/>
      <c r="U11" s="1335"/>
      <c r="V11" s="1335"/>
      <c r="W11" s="1335"/>
      <c r="X11" s="1335"/>
      <c r="Y11" s="1335"/>
      <c r="Z11" s="1335"/>
      <c r="AC11" s="1337">
        <v>12</v>
      </c>
      <c r="AD11" s="1337" t="s">
        <v>1311</v>
      </c>
    </row>
    <row r="12" spans="1:30" ht="16.5" thickBot="1">
      <c r="A12" s="1351"/>
      <c r="B12" s="1352"/>
      <c r="C12" s="1352"/>
      <c r="D12" s="1352"/>
      <c r="E12" s="1352"/>
      <c r="F12" s="1355"/>
      <c r="G12" s="1335"/>
      <c r="H12" s="1335"/>
      <c r="I12" s="1335"/>
      <c r="J12" s="1335"/>
      <c r="K12" s="1335"/>
      <c r="L12" s="1335"/>
      <c r="M12" s="1335"/>
      <c r="N12" s="1335"/>
      <c r="O12" s="1335"/>
      <c r="P12" s="1335"/>
      <c r="Q12" s="1335"/>
      <c r="R12" s="1335"/>
      <c r="S12" s="1335"/>
      <c r="T12" s="1335"/>
      <c r="U12" s="1335"/>
      <c r="V12" s="1335"/>
      <c r="W12" s="1335"/>
      <c r="X12" s="1335"/>
      <c r="Y12" s="1335"/>
      <c r="Z12" s="1335"/>
      <c r="AC12" s="1337">
        <v>13</v>
      </c>
      <c r="AD12" s="1337" t="s">
        <v>1312</v>
      </c>
    </row>
    <row r="13" spans="1:30" ht="18.75" customHeight="1" outlineLevel="1" thickBot="1">
      <c r="A13" s="1359" t="s">
        <v>101</v>
      </c>
      <c r="B13" s="1360" t="s">
        <v>1</v>
      </c>
      <c r="C13" s="1361" t="s">
        <v>2</v>
      </c>
      <c r="D13" s="1361" t="s">
        <v>3</v>
      </c>
      <c r="E13" s="1361" t="s">
        <v>4</v>
      </c>
      <c r="F13" s="1361" t="s">
        <v>5</v>
      </c>
      <c r="G13" s="1335"/>
      <c r="H13" s="1335"/>
      <c r="I13" s="1335"/>
      <c r="J13" s="1335"/>
      <c r="K13" s="1335"/>
      <c r="L13" s="1335"/>
      <c r="M13" s="1335"/>
      <c r="N13" s="1335"/>
      <c r="O13" s="1335"/>
      <c r="P13" s="1335"/>
      <c r="Q13" s="1335"/>
      <c r="R13" s="1335"/>
      <c r="S13" s="1335"/>
      <c r="T13" s="1335"/>
      <c r="U13" s="1335"/>
      <c r="V13" s="1335"/>
      <c r="W13" s="1335"/>
      <c r="X13" s="1335"/>
      <c r="Y13" s="1335"/>
      <c r="Z13" s="1335"/>
      <c r="AC13" s="1337"/>
      <c r="AD13" s="1337"/>
    </row>
    <row r="14" spans="1:30" ht="14.25" customHeight="1" outlineLevel="1">
      <c r="A14" s="1362" t="s">
        <v>888</v>
      </c>
      <c r="B14" s="1363" t="e">
        <f>IF('Copy &amp; Paste'!B14="ja",Pauschal!B19/365,Ergebnis!B6)</f>
        <v>#VALUE!</v>
      </c>
      <c r="C14" s="1363" t="e">
        <f>IF('Copy &amp; Paste'!B14="ja",Pauschal!B20/365,Ergebnis!C6)</f>
        <v>#VALUE!</v>
      </c>
      <c r="D14" s="1363" t="e">
        <f>IF('Copy &amp; Paste'!B14="ja",Pauschal!B21/365,Ergebnis!D6)</f>
        <v>#VALUE!</v>
      </c>
      <c r="E14" s="1363" t="e">
        <f>IF('Copy &amp; Paste'!B14="ja",Pauschal!B22/365,Ergebnis!E6)</f>
        <v>#VALUE!</v>
      </c>
      <c r="F14" s="1364" t="e">
        <f>IF('Copy &amp; Paste'!B14="ja",Pauschal!B23/365,Ergebnis!F6)</f>
        <v>#VALUE!</v>
      </c>
      <c r="G14" s="1335"/>
      <c r="H14" s="1335"/>
      <c r="I14" s="1335"/>
      <c r="J14" s="1335"/>
      <c r="K14" s="1335"/>
      <c r="L14" s="1335"/>
      <c r="M14" s="1335"/>
      <c r="N14" s="1335"/>
      <c r="O14" s="1335"/>
      <c r="P14" s="1335"/>
      <c r="Q14" s="1335"/>
      <c r="R14" s="1335"/>
      <c r="S14" s="1335"/>
      <c r="T14" s="1335"/>
      <c r="U14" s="1335"/>
      <c r="V14" s="1335"/>
      <c r="W14" s="1335"/>
      <c r="X14" s="1335"/>
      <c r="Y14" s="1335"/>
      <c r="Z14" s="1335"/>
      <c r="AC14" s="1337"/>
      <c r="AD14" s="1337"/>
    </row>
    <row r="15" spans="1:30" ht="14.25" customHeight="1" outlineLevel="1">
      <c r="A15" s="1365" t="s">
        <v>102</v>
      </c>
      <c r="B15" s="1366" t="e">
        <f>IF('Copy &amp; Paste'!B14="ja",Pauschal!B19,Ergebnis!B12)</f>
        <v>#VALUE!</v>
      </c>
      <c r="C15" s="1366" t="e">
        <f>IF('Copy &amp; Paste'!B14="ja",Pauschal!B20,Ergebnis!C12)</f>
        <v>#VALUE!</v>
      </c>
      <c r="D15" s="1366" t="e">
        <f>IF('Copy &amp; Paste'!B14="ja",Pauschal!B21,Ergebnis!D12)</f>
        <v>#VALUE!</v>
      </c>
      <c r="E15" s="1366" t="e">
        <f>IF('Copy &amp; Paste'!B14="ja",Pauschal!B22,Ergebnis!E12)</f>
        <v>#VALUE!</v>
      </c>
      <c r="F15" s="1367" t="e">
        <f>IF('Copy &amp; Paste'!B14="ja",Pauschal!B23,Ergebnis!F12)</f>
        <v>#VALUE!</v>
      </c>
      <c r="G15" s="1335"/>
      <c r="H15" s="1335"/>
      <c r="I15" s="1335"/>
      <c r="J15" s="1335"/>
      <c r="K15" s="1335"/>
      <c r="L15" s="1335"/>
      <c r="M15" s="1335"/>
      <c r="N15" s="1335"/>
      <c r="O15" s="1335"/>
      <c r="P15" s="1335"/>
      <c r="Q15" s="1335"/>
      <c r="R15" s="1335"/>
      <c r="S15" s="1335"/>
      <c r="T15" s="1335"/>
      <c r="U15" s="1335"/>
      <c r="V15" s="1335"/>
      <c r="W15" s="1335"/>
      <c r="X15" s="1335"/>
      <c r="Y15" s="1335"/>
      <c r="Z15" s="1335"/>
      <c r="AC15" s="1337"/>
      <c r="AD15" s="1337"/>
    </row>
    <row r="16" spans="1:30" ht="14.25" customHeight="1" outlineLevel="1">
      <c r="A16" s="1368" t="s">
        <v>235</v>
      </c>
      <c r="B16" s="1369" t="e">
        <f>IF('Copy &amp; Paste'!$B$14="ja",B15/$B$18,IF(ISBLANK(Ergebnis!B$9),Ergebnis!B$8,Ergebnis!B$9))</f>
        <v>#VALUE!</v>
      </c>
      <c r="C16" s="1369" t="e">
        <f>IF('Copy &amp; Paste'!$B$14="ja",C15/$B$18,IF(ISBLANK(Ergebnis!C$9),Ergebnis!C$8,Ergebnis!C$9))</f>
        <v>#VALUE!</v>
      </c>
      <c r="D16" s="1369" t="e">
        <f>IF('Copy &amp; Paste'!$B$14="ja",D15/$B$18,IF(ISBLANK(Ergebnis!D$9),Ergebnis!D$8,Ergebnis!D$9))</f>
        <v>#VALUE!</v>
      </c>
      <c r="E16" s="1369" t="e">
        <f>IF('Copy &amp; Paste'!$B$14="ja",E15/$B$18,IF(ISBLANK(Ergebnis!E$9),Ergebnis!E$8,Ergebnis!E$9))</f>
        <v>#VALUE!</v>
      </c>
      <c r="F16" s="1370" t="e">
        <f>IF('Copy &amp; Paste'!$B$14="ja",F15/$B$18,IF(ISBLANK(Ergebnis!F$9),Ergebnis!F$8,Ergebnis!F$9))</f>
        <v>#VALUE!</v>
      </c>
      <c r="G16" s="1335"/>
      <c r="H16" s="1335"/>
      <c r="I16" s="1335"/>
      <c r="J16" s="1335"/>
      <c r="K16" s="1335"/>
      <c r="L16" s="1335"/>
      <c r="M16" s="1335"/>
      <c r="N16" s="1335"/>
      <c r="O16" s="1335"/>
      <c r="P16" s="1335"/>
      <c r="Q16" s="1335"/>
      <c r="R16" s="1335"/>
      <c r="S16" s="1335"/>
      <c r="T16" s="1335"/>
      <c r="U16" s="1335"/>
      <c r="V16" s="1335"/>
      <c r="W16" s="1335"/>
      <c r="X16" s="1335"/>
      <c r="Y16" s="1335"/>
      <c r="Z16" s="1335"/>
      <c r="AC16" s="1337"/>
      <c r="AD16" s="1337"/>
    </row>
    <row r="17" spans="1:30" ht="14.25" customHeight="1" outlineLevel="1">
      <c r="A17" s="1371" t="s">
        <v>816</v>
      </c>
      <c r="B17" s="1372" t="e">
        <f>SUM(B14:F14)</f>
        <v>#VALUE!</v>
      </c>
      <c r="C17" s="1373"/>
      <c r="D17" s="1373"/>
      <c r="E17" s="1373"/>
      <c r="F17" s="1374"/>
      <c r="G17" s="1335"/>
      <c r="H17" s="1335"/>
      <c r="I17" s="1335"/>
      <c r="J17" s="1335"/>
      <c r="K17" s="1335"/>
      <c r="L17" s="1335"/>
      <c r="M17" s="1335"/>
      <c r="N17" s="1335"/>
      <c r="O17" s="1335"/>
      <c r="P17" s="1335"/>
      <c r="Q17" s="1335"/>
      <c r="R17" s="1335"/>
      <c r="S17" s="1335"/>
      <c r="T17" s="1335"/>
      <c r="U17" s="1335"/>
      <c r="V17" s="1335"/>
      <c r="W17" s="1335"/>
      <c r="X17" s="1335"/>
      <c r="Y17" s="1335"/>
      <c r="Z17" s="1335"/>
      <c r="AC17" s="1337"/>
      <c r="AD17" s="1337"/>
    </row>
    <row r="18" spans="1:30" ht="14.25" customHeight="1" outlineLevel="1">
      <c r="A18" s="1371" t="s">
        <v>817</v>
      </c>
      <c r="B18" s="1375" t="e">
        <f>SUM(B15:F15)</f>
        <v>#VALUE!</v>
      </c>
      <c r="C18" s="1373"/>
      <c r="D18" s="1373"/>
      <c r="E18" s="1373"/>
      <c r="F18" s="1374"/>
      <c r="G18" s="1335"/>
      <c r="H18" s="1335"/>
      <c r="I18" s="1335"/>
      <c r="J18" s="1335"/>
      <c r="K18" s="1335"/>
      <c r="L18" s="1335"/>
      <c r="M18" s="1335"/>
      <c r="N18" s="1335"/>
      <c r="O18" s="1335"/>
      <c r="P18" s="1335"/>
      <c r="Q18" s="1335"/>
      <c r="R18" s="1335"/>
      <c r="S18" s="1335"/>
      <c r="T18" s="1335"/>
      <c r="U18" s="1335"/>
      <c r="V18" s="1335"/>
      <c r="W18" s="1335"/>
      <c r="X18" s="1335"/>
      <c r="Y18" s="1335"/>
      <c r="Z18" s="1335"/>
      <c r="AC18" s="1337"/>
      <c r="AD18" s="1337"/>
    </row>
    <row r="19" spans="1:30" ht="15" customHeight="1" outlineLevel="1">
      <c r="A19" s="1371" t="s">
        <v>818</v>
      </c>
      <c r="B19" s="1373" t="e">
        <f>SUM(B16:F16)</f>
        <v>#VALUE!</v>
      </c>
      <c r="C19" s="1373"/>
      <c r="D19" s="1373"/>
      <c r="E19" s="1373"/>
      <c r="F19" s="1374"/>
      <c r="G19" s="1335"/>
      <c r="H19" s="1335"/>
      <c r="I19" s="1335"/>
      <c r="J19" s="1335"/>
      <c r="K19" s="1335"/>
      <c r="L19" s="1335"/>
      <c r="M19" s="1335"/>
      <c r="N19" s="1335"/>
      <c r="O19" s="1335"/>
      <c r="P19" s="1335"/>
      <c r="Q19" s="1335"/>
      <c r="R19" s="1335"/>
      <c r="S19" s="1335"/>
      <c r="T19" s="1335"/>
      <c r="U19" s="1335"/>
      <c r="V19" s="1335"/>
      <c r="W19" s="1335"/>
      <c r="X19" s="1335"/>
      <c r="Y19" s="1335"/>
      <c r="Z19" s="1335"/>
      <c r="AC19" s="1337"/>
      <c r="AD19" s="1337"/>
    </row>
    <row r="20" spans="1:30" ht="15" customHeight="1" outlineLevel="1" thickBot="1">
      <c r="A20" s="1371"/>
      <c r="B20" s="1373"/>
      <c r="C20" s="1373"/>
      <c r="D20" s="1373"/>
      <c r="E20" s="1373"/>
      <c r="F20" s="1374"/>
      <c r="G20" s="1335"/>
      <c r="H20" s="1335"/>
      <c r="I20" s="1335"/>
      <c r="J20" s="1335"/>
      <c r="K20" s="1335"/>
      <c r="L20" s="1335"/>
      <c r="M20" s="1335"/>
      <c r="N20" s="1335"/>
      <c r="O20" s="1335"/>
      <c r="P20" s="1335"/>
      <c r="Q20" s="1335"/>
      <c r="R20" s="1335"/>
      <c r="S20" s="1335"/>
      <c r="T20" s="1335"/>
      <c r="U20" s="1335"/>
      <c r="V20" s="1335"/>
      <c r="W20" s="1335"/>
      <c r="X20" s="1335"/>
      <c r="Y20" s="1335"/>
      <c r="Z20" s="1335"/>
      <c r="AC20" s="1337"/>
      <c r="AD20" s="1337"/>
    </row>
    <row r="21" spans="1:30" ht="21" customHeight="1" thickBot="1">
      <c r="A21" s="4541" t="str">
        <f>IF(OR('Copy &amp; Paste'!H12="",'Copy &amp; Paste'!I12&gt;0),"Vergütung vollstationäre Pflege"," Vergütung vollstationäre Pflege und eingestreute Kurzzeitpflege")</f>
        <v>Vergütung vollstationäre Pflege</v>
      </c>
      <c r="B21" s="4542"/>
      <c r="C21" s="4542"/>
      <c r="D21" s="4542"/>
      <c r="E21" s="4542"/>
      <c r="F21" s="4543"/>
      <c r="G21" s="1335"/>
      <c r="H21" s="1335"/>
      <c r="I21" s="1335"/>
      <c r="J21" s="1335"/>
      <c r="K21" s="1335"/>
      <c r="L21" s="1335"/>
      <c r="M21" s="1335"/>
      <c r="N21" s="1335"/>
      <c r="O21" s="1335"/>
      <c r="P21" s="1335"/>
      <c r="Q21" s="1335"/>
      <c r="R21" s="1335"/>
      <c r="S21" s="1335"/>
      <c r="T21" s="1335"/>
      <c r="U21" s="1335"/>
      <c r="V21" s="1335"/>
      <c r="W21" s="1335"/>
      <c r="X21" s="1335"/>
      <c r="Y21" s="1335"/>
      <c r="Z21" s="1335"/>
      <c r="AC21" s="1337">
        <v>14</v>
      </c>
      <c r="AD21" s="1337" t="s">
        <v>1313</v>
      </c>
    </row>
    <row r="22" spans="1:30" ht="15" customHeight="1" thickBot="1">
      <c r="A22" s="1371"/>
      <c r="B22" s="1373"/>
      <c r="C22" s="1373"/>
      <c r="D22" s="1373"/>
      <c r="E22" s="1373"/>
      <c r="F22" s="1374"/>
      <c r="G22" s="1335"/>
      <c r="H22" s="1335"/>
      <c r="I22" s="1335"/>
      <c r="J22" s="1335"/>
      <c r="K22" s="1335"/>
      <c r="L22" s="1335"/>
      <c r="M22" s="1335"/>
      <c r="N22" s="1335"/>
      <c r="O22" s="1335"/>
      <c r="P22" s="1335"/>
      <c r="Q22" s="1335"/>
      <c r="R22" s="1335"/>
      <c r="S22" s="1335"/>
      <c r="T22" s="1335"/>
      <c r="U22" s="1335"/>
      <c r="V22" s="1335"/>
      <c r="W22" s="1335"/>
      <c r="X22" s="1335"/>
      <c r="Y22" s="1335"/>
      <c r="Z22" s="1335"/>
      <c r="AC22" s="1337">
        <v>15</v>
      </c>
      <c r="AD22" s="1337" t="s">
        <v>1314</v>
      </c>
    </row>
    <row r="23" spans="1:30" ht="15.75" thickBot="1">
      <c r="A23" s="1371"/>
      <c r="B23" s="4525" t="s">
        <v>1217</v>
      </c>
      <c r="C23" s="4526"/>
      <c r="D23" s="4526"/>
      <c r="E23" s="4526"/>
      <c r="F23" s="4527"/>
      <c r="G23" s="1335"/>
      <c r="H23" s="1335"/>
      <c r="I23" s="1335"/>
      <c r="J23" s="1335"/>
      <c r="K23" s="1335"/>
      <c r="L23" s="1335"/>
      <c r="M23" s="1335"/>
      <c r="N23" s="1335"/>
      <c r="O23" s="1335"/>
      <c r="P23" s="1335"/>
      <c r="Q23" s="1335"/>
      <c r="R23" s="1335"/>
      <c r="S23" s="1335"/>
      <c r="T23" s="1335"/>
      <c r="U23" s="1335"/>
      <c r="V23" s="1335"/>
      <c r="W23" s="1335"/>
      <c r="X23" s="1335"/>
      <c r="Y23" s="1335"/>
      <c r="Z23" s="1335"/>
      <c r="AC23" s="1337">
        <v>16</v>
      </c>
      <c r="AD23" s="1337" t="s">
        <v>1315</v>
      </c>
    </row>
    <row r="24" spans="1:30" ht="19.5" thickBot="1">
      <c r="A24" s="1376"/>
      <c r="B24" s="1360" t="s">
        <v>1</v>
      </c>
      <c r="C24" s="1360" t="s">
        <v>2</v>
      </c>
      <c r="D24" s="1360" t="s">
        <v>3</v>
      </c>
      <c r="E24" s="1360" t="s">
        <v>4</v>
      </c>
      <c r="F24" s="1360" t="s">
        <v>5</v>
      </c>
      <c r="G24" s="1335"/>
      <c r="H24" s="1335"/>
      <c r="I24" s="1335"/>
      <c r="J24" s="1335"/>
      <c r="K24" s="1335"/>
      <c r="L24" s="1335"/>
      <c r="M24" s="1335"/>
      <c r="N24" s="1335"/>
      <c r="O24" s="1335"/>
      <c r="P24" s="1335"/>
      <c r="Q24" s="1335"/>
      <c r="R24" s="1335"/>
      <c r="S24" s="1335"/>
      <c r="T24" s="1335"/>
      <c r="U24" s="1335"/>
      <c r="V24" s="1335"/>
      <c r="W24" s="1335"/>
      <c r="X24" s="1335"/>
      <c r="Y24" s="1335"/>
      <c r="Z24" s="1335"/>
      <c r="AC24" s="1337">
        <v>17</v>
      </c>
      <c r="AD24" s="1337" t="s">
        <v>1316</v>
      </c>
    </row>
    <row r="25" spans="1:30" ht="15.75">
      <c r="A25" s="1377" t="s">
        <v>221</v>
      </c>
      <c r="B25" s="1378" t="e">
        <f>IF('Copy &amp; Paste'!B14="ja",FIXED(Pauschal!H19,2)&amp;" €",FIXED(Ergebnis!B69,2)&amp;" €")</f>
        <v>#VALUE!</v>
      </c>
      <c r="C25" s="1378" t="e">
        <f>IF('Copy &amp; Paste'!B14="ja",FIXED(Pauschal!H20,2)&amp;" €",FIXED(Ergebnis!C69,2)&amp;" €")</f>
        <v>#VALUE!</v>
      </c>
      <c r="D25" s="1378" t="e">
        <f>IF('Copy &amp; Paste'!B14="ja",FIXED(Pauschal!H21,2)&amp;" €",FIXED(Ergebnis!D69,2)&amp;" €")</f>
        <v>#VALUE!</v>
      </c>
      <c r="E25" s="1378" t="e">
        <f>IF('Copy &amp; Paste'!B14="ja",FIXED(Pauschal!H22,2)&amp;" €",FIXED(Ergebnis!E69,2)&amp;" €")</f>
        <v>#VALUE!</v>
      </c>
      <c r="F25" s="1379" t="e">
        <f>IF('Copy &amp; Paste'!B14="ja",FIXED(Pauschal!H23,2)&amp;" €",FIXED(Ergebnis!F69,2)&amp;" €")</f>
        <v>#VALUE!</v>
      </c>
      <c r="G25" s="1335"/>
      <c r="H25" s="1335"/>
      <c r="I25" s="1335"/>
      <c r="J25" s="1335"/>
      <c r="K25" s="1335"/>
      <c r="L25" s="1335"/>
      <c r="M25" s="1335"/>
      <c r="N25" s="1335"/>
      <c r="O25" s="1335"/>
      <c r="P25" s="1335"/>
      <c r="Q25" s="1335"/>
      <c r="R25" s="1335"/>
      <c r="S25" s="1335"/>
      <c r="T25" s="1335"/>
      <c r="U25" s="1335"/>
      <c r="V25" s="1335"/>
      <c r="W25" s="1335"/>
      <c r="X25" s="1335"/>
      <c r="Y25" s="1335"/>
      <c r="Z25" s="1335"/>
      <c r="AC25" s="1337">
        <v>18</v>
      </c>
      <c r="AD25" s="1337" t="s">
        <v>1317</v>
      </c>
    </row>
    <row r="26" spans="1:30" ht="15.75" customHeight="1">
      <c r="A26" s="1380" t="s">
        <v>238</v>
      </c>
      <c r="B26" s="1381" t="e">
        <f>IF('Copy &amp; Paste'!B14="ja",FIXED(Pauschal!H25,2)&amp;" €",FIXED(Ergebnis!J71,2)&amp;" €")</f>
        <v>#VALUE!</v>
      </c>
      <c r="C26" s="1382" t="e">
        <f>B26</f>
        <v>#VALUE!</v>
      </c>
      <c r="D26" s="1382" t="e">
        <f>B26</f>
        <v>#VALUE!</v>
      </c>
      <c r="E26" s="1382" t="e">
        <f>B26</f>
        <v>#VALUE!</v>
      </c>
      <c r="F26" s="1383" t="e">
        <f>B26</f>
        <v>#VALUE!</v>
      </c>
      <c r="G26" s="1335"/>
      <c r="H26" s="1335"/>
      <c r="I26" s="1335"/>
      <c r="J26" s="1335"/>
      <c r="K26" s="1335"/>
      <c r="L26" s="1335"/>
      <c r="M26" s="1335"/>
      <c r="N26" s="1335"/>
      <c r="O26" s="1335"/>
      <c r="P26" s="1335"/>
      <c r="Q26" s="1335"/>
      <c r="R26" s="1335"/>
      <c r="S26" s="1335"/>
      <c r="T26" s="1335"/>
      <c r="U26" s="1335"/>
      <c r="V26" s="1335"/>
      <c r="W26" s="1335"/>
      <c r="X26" s="1335"/>
      <c r="Y26" s="1335"/>
      <c r="Z26" s="1335"/>
      <c r="AC26" s="1337">
        <v>19</v>
      </c>
      <c r="AD26" s="1337" t="s">
        <v>1318</v>
      </c>
    </row>
    <row r="27" spans="1:30" ht="15.75">
      <c r="A27" s="1380" t="s">
        <v>239</v>
      </c>
      <c r="B27" s="1381" t="e">
        <f>IF('Copy &amp; Paste'!B14="ja",FIXED(Pauschal!H26,2)&amp;" €",FIXED(Ergebnis!J72,2)&amp;" €")</f>
        <v>#VALUE!</v>
      </c>
      <c r="C27" s="1382" t="e">
        <f>B27</f>
        <v>#VALUE!</v>
      </c>
      <c r="D27" s="1382" t="e">
        <f>B27</f>
        <v>#VALUE!</v>
      </c>
      <c r="E27" s="1382" t="e">
        <f>B27</f>
        <v>#VALUE!</v>
      </c>
      <c r="F27" s="1383" t="e">
        <f>B27</f>
        <v>#VALUE!</v>
      </c>
      <c r="G27" s="1335"/>
      <c r="H27" s="1335"/>
      <c r="I27" s="1335"/>
      <c r="J27" s="1335"/>
      <c r="K27" s="1335"/>
      <c r="L27" s="1335"/>
      <c r="M27" s="1335"/>
      <c r="N27" s="1335"/>
      <c r="O27" s="1335"/>
      <c r="P27" s="1335"/>
      <c r="Q27" s="1335"/>
      <c r="R27" s="1335"/>
      <c r="S27" s="1335"/>
      <c r="T27" s="1335"/>
      <c r="U27" s="1335"/>
      <c r="V27" s="1335"/>
      <c r="W27" s="1335"/>
      <c r="X27" s="1335"/>
      <c r="Y27" s="1335"/>
      <c r="Z27" s="1335"/>
      <c r="AC27" s="1337">
        <v>20</v>
      </c>
      <c r="AD27" s="1337" t="s">
        <v>1319</v>
      </c>
    </row>
    <row r="28" spans="1:30" ht="16.5" thickBot="1">
      <c r="A28" s="1384" t="s">
        <v>349</v>
      </c>
      <c r="B28" s="1385" t="str">
        <f>IF('Copy &amp; Paste'!G32&gt;0,FIXED('Copy &amp; Paste'!G32,2)&amp;" €","0,00 €")</f>
        <v>0,00 €</v>
      </c>
      <c r="C28" s="1385" t="str">
        <f>B28</f>
        <v>0,00 €</v>
      </c>
      <c r="D28" s="1385" t="str">
        <f>B28</f>
        <v>0,00 €</v>
      </c>
      <c r="E28" s="1385" t="str">
        <f>B28</f>
        <v>0,00 €</v>
      </c>
      <c r="F28" s="1386" t="str">
        <f>B28</f>
        <v>0,00 €</v>
      </c>
      <c r="G28" s="1335"/>
      <c r="H28" s="1335"/>
      <c r="I28" s="1335"/>
      <c r="J28" s="1335"/>
      <c r="K28" s="1335"/>
      <c r="L28" s="1335"/>
      <c r="M28" s="1335"/>
      <c r="N28" s="1335"/>
      <c r="O28" s="1335"/>
      <c r="P28" s="1335"/>
      <c r="Q28" s="1335"/>
      <c r="R28" s="1335"/>
      <c r="S28" s="1335"/>
      <c r="T28" s="1335"/>
      <c r="U28" s="1335"/>
      <c r="V28" s="1335"/>
      <c r="W28" s="1335"/>
      <c r="X28" s="1335"/>
      <c r="Y28" s="1335"/>
      <c r="Z28" s="1335"/>
    </row>
    <row r="29" spans="1:30" ht="19.5" thickBot="1">
      <c r="A29" s="1384" t="s">
        <v>81</v>
      </c>
      <c r="B29" s="1387" t="e">
        <f>FIXED(B25+B26+B27+B28,2)&amp;" €"</f>
        <v>#VALUE!</v>
      </c>
      <c r="C29" s="1387" t="e">
        <f>FIXED(C25+C26+C27+C28,2)&amp;" €"</f>
        <v>#VALUE!</v>
      </c>
      <c r="D29" s="1387" t="e">
        <f>FIXED(D25+D26+D27+D28,2)&amp;" €"</f>
        <v>#VALUE!</v>
      </c>
      <c r="E29" s="1387" t="e">
        <f>FIXED(E25+E26+E27+E28,2)&amp;" €"</f>
        <v>#VALUE!</v>
      </c>
      <c r="F29" s="1388" t="e">
        <f>FIXED(F25+F26+F27+F28,2)&amp;" €"</f>
        <v>#VALUE!</v>
      </c>
      <c r="G29" s="1335"/>
      <c r="H29" s="1389"/>
      <c r="I29" s="1335"/>
      <c r="J29" s="1335"/>
      <c r="K29" s="1335"/>
      <c r="L29" s="1335"/>
      <c r="M29" s="1335"/>
      <c r="N29" s="1335"/>
      <c r="O29" s="1335"/>
      <c r="P29" s="1335"/>
      <c r="Q29" s="1335"/>
      <c r="R29" s="1335"/>
      <c r="S29" s="1335"/>
      <c r="T29" s="1335"/>
      <c r="U29" s="1335"/>
      <c r="V29" s="1335"/>
      <c r="W29" s="1335"/>
      <c r="X29" s="1335"/>
      <c r="Y29" s="1335"/>
      <c r="Z29" s="1335"/>
    </row>
    <row r="30" spans="1:30" ht="15.75">
      <c r="A30" s="1390"/>
      <c r="B30" s="1391"/>
      <c r="C30" s="1391"/>
      <c r="D30" s="1391"/>
      <c r="E30" s="1391"/>
      <c r="F30" s="1392"/>
      <c r="G30" s="1335"/>
      <c r="H30" s="1335"/>
      <c r="I30" s="1335"/>
      <c r="J30" s="1335"/>
      <c r="K30" s="1335"/>
      <c r="L30" s="1335"/>
      <c r="M30" s="1335"/>
      <c r="N30" s="1335"/>
      <c r="O30" s="1335"/>
      <c r="P30" s="1335"/>
      <c r="Q30" s="1335"/>
      <c r="R30" s="1335"/>
      <c r="S30" s="1335"/>
      <c r="T30" s="1335"/>
      <c r="U30" s="1335"/>
      <c r="V30" s="1335"/>
      <c r="W30" s="1335"/>
      <c r="X30" s="1335"/>
      <c r="Y30" s="1335"/>
      <c r="Z30" s="1335"/>
    </row>
    <row r="31" spans="1:30" ht="15.75">
      <c r="A31" s="1393" t="s">
        <v>979</v>
      </c>
      <c r="B31" s="1394"/>
      <c r="C31" s="1395" t="e">
        <f>IF('Copy &amp; Paste'!B14="ja",FIXED(Pauschal!H70,2)&amp;" €",FIXED(Ergebnis!J57)&amp;" €")</f>
        <v>#VALUE!</v>
      </c>
      <c r="D31" s="4545" t="str">
        <f>IF(ISTEXT('Copy &amp; Paste'!B12),"S p e z i a l e i n r i c h t u n g !","")</f>
        <v/>
      </c>
      <c r="E31" s="4546"/>
      <c r="F31" s="4547"/>
      <c r="G31" s="1335"/>
      <c r="H31" s="1335"/>
      <c r="I31" s="1335"/>
      <c r="J31" s="1335"/>
      <c r="K31" s="1335"/>
      <c r="L31" s="1335"/>
      <c r="M31" s="1335"/>
      <c r="N31" s="1335"/>
      <c r="O31" s="1335"/>
      <c r="P31" s="1335"/>
      <c r="Q31" s="1335"/>
      <c r="R31" s="1335"/>
      <c r="S31" s="1335"/>
      <c r="T31" s="1335"/>
      <c r="U31" s="1335"/>
      <c r="V31" s="1335"/>
      <c r="W31" s="1335"/>
      <c r="X31" s="1335"/>
      <c r="Y31" s="1335"/>
      <c r="Z31" s="1335"/>
    </row>
    <row r="32" spans="1:30" ht="15.75">
      <c r="A32" s="1393" t="s">
        <v>1516</v>
      </c>
      <c r="B32" s="1394"/>
      <c r="C32" s="1395" t="e">
        <f>IF('Copy &amp; Paste'!B14="ja",FIXED(B26+B27,2)&amp;" €",FIXED(Ergebnis!B70,2)&amp;" €")</f>
        <v>#VALUE!</v>
      </c>
      <c r="D32" s="4548" t="str">
        <f>IF(ISTEXT('Copy &amp; Paste'!B12),"Neue Vergütung § 132a i. V. m. § 37 Abs. 2 S. 3 SGB V ab "&amp;TEXT(B11,"TT.MM.JJJJ"),"")</f>
        <v/>
      </c>
      <c r="E32" s="4549"/>
      <c r="F32" s="4550"/>
      <c r="G32" s="1396"/>
      <c r="H32" s="1396"/>
      <c r="I32" s="1396"/>
      <c r="J32" s="1396"/>
      <c r="K32" s="1396"/>
      <c r="L32" s="1396"/>
      <c r="M32" s="1396"/>
      <c r="N32" s="1396"/>
      <c r="O32" s="1396"/>
      <c r="P32" s="1396"/>
      <c r="Q32" s="1396"/>
      <c r="R32" s="1396"/>
      <c r="S32" s="1396"/>
      <c r="T32" s="1396"/>
      <c r="U32" s="1396"/>
      <c r="V32" s="1396"/>
      <c r="W32" s="1396"/>
      <c r="X32" s="1396"/>
      <c r="Y32" s="1396"/>
      <c r="Z32" s="1396"/>
    </row>
    <row r="33" spans="1:26" ht="15.75">
      <c r="A33" s="1393" t="s">
        <v>980</v>
      </c>
      <c r="B33" s="1394"/>
      <c r="C33" s="1395" t="e">
        <f>IF('Copy &amp; Paste'!B14="ja",FIXED(Pauschal!H27,2)&amp;" €",FIXED(Ergebnis!J73,2)&amp;" €")</f>
        <v>#VALUE!</v>
      </c>
      <c r="D33" s="1397"/>
      <c r="E33" s="1397"/>
      <c r="F33" s="1398"/>
      <c r="G33" s="1396"/>
      <c r="H33" s="1396"/>
      <c r="I33" s="1396"/>
      <c r="J33" s="1396"/>
      <c r="K33" s="1396"/>
      <c r="L33" s="1396"/>
      <c r="M33" s="1396"/>
      <c r="N33" s="1396"/>
      <c r="O33" s="1396"/>
      <c r="P33" s="1396"/>
      <c r="Q33" s="1396"/>
      <c r="R33" s="1396"/>
      <c r="S33" s="1396"/>
      <c r="T33" s="1396"/>
      <c r="U33" s="1396"/>
      <c r="V33" s="1396"/>
      <c r="W33" s="1396"/>
      <c r="X33" s="1396"/>
      <c r="Y33" s="1396"/>
      <c r="Z33" s="1396"/>
    </row>
    <row r="34" spans="1:26" ht="15.75">
      <c r="A34" s="1393" t="s">
        <v>1360</v>
      </c>
      <c r="B34" s="1394"/>
      <c r="C34" s="1395" t="e">
        <f>IF('Copy &amp; Paste'!B14="ja",FIXED(B26+C33,2)&amp;" €",FIXED(Ergebnis!J71+Ergebnis!J73,2)&amp;" €")</f>
        <v>#VALUE!</v>
      </c>
      <c r="D34" s="1399"/>
      <c r="E34" s="1400" t="str">
        <f>IF(ISTEXT('Copy &amp; Paste'!B12),#REF!,"")</f>
        <v/>
      </c>
      <c r="F34" s="1398"/>
      <c r="G34" s="1396"/>
      <c r="H34" s="1396"/>
      <c r="I34" s="1396"/>
      <c r="J34" s="1396"/>
      <c r="K34" s="1396"/>
      <c r="L34" s="1396"/>
      <c r="M34" s="1396"/>
      <c r="N34" s="1396"/>
      <c r="O34" s="1396"/>
      <c r="P34" s="1396"/>
      <c r="Q34" s="1396"/>
      <c r="R34" s="1396"/>
      <c r="S34" s="1396"/>
      <c r="T34" s="1396"/>
      <c r="U34" s="1396"/>
      <c r="V34" s="1396"/>
      <c r="W34" s="1396"/>
      <c r="X34" s="1396"/>
      <c r="Y34" s="1396"/>
      <c r="Z34" s="1396"/>
    </row>
    <row r="35" spans="1:26" ht="16.5" thickBot="1">
      <c r="A35" s="1351"/>
      <c r="B35" s="1397"/>
      <c r="C35" s="1397"/>
      <c r="D35" s="1397"/>
      <c r="E35" s="1397"/>
      <c r="F35" s="1398"/>
      <c r="G35" s="1396"/>
      <c r="H35" s="1396"/>
      <c r="I35" s="1396"/>
      <c r="J35" s="1396"/>
      <c r="K35" s="1396"/>
      <c r="L35" s="1396"/>
      <c r="M35" s="1396"/>
      <c r="N35" s="1396"/>
      <c r="O35" s="1396"/>
      <c r="P35" s="1396"/>
      <c r="Q35" s="1396"/>
      <c r="R35" s="1396"/>
      <c r="S35" s="1396"/>
      <c r="T35" s="1396"/>
      <c r="U35" s="1396"/>
      <c r="V35" s="1396"/>
      <c r="W35" s="1396"/>
      <c r="X35" s="1396"/>
      <c r="Y35" s="1396"/>
      <c r="Z35" s="1396"/>
    </row>
    <row r="36" spans="1:26" ht="15.75">
      <c r="A36" s="1401" t="s">
        <v>983</v>
      </c>
      <c r="B36" s="1402"/>
      <c r="C36" s="1403" t="e">
        <f>IF('Copy &amp; Paste'!B14="ja",FIXED(Pauschal!I13,2)&amp;" €",FIXED(Ergebnis!B82,2)&amp;" €")</f>
        <v>#VALUE!</v>
      </c>
      <c r="D36" s="4544"/>
      <c r="E36" s="4544"/>
      <c r="F36" s="1398"/>
      <c r="G36" s="1396"/>
      <c r="H36" s="1396"/>
      <c r="I36" s="1396"/>
      <c r="J36" s="1396"/>
      <c r="K36" s="1396"/>
      <c r="L36" s="1396"/>
      <c r="M36" s="1396"/>
      <c r="N36" s="1396"/>
      <c r="O36" s="1396"/>
      <c r="P36" s="1396"/>
      <c r="Q36" s="1396"/>
      <c r="R36" s="1396"/>
      <c r="S36" s="1396"/>
      <c r="T36" s="1396"/>
      <c r="U36" s="1396"/>
      <c r="V36" s="1396"/>
      <c r="W36" s="1396"/>
      <c r="X36" s="1396"/>
      <c r="Y36" s="1396"/>
      <c r="Z36" s="1396"/>
    </row>
    <row r="37" spans="1:26" ht="16.5" thickBot="1">
      <c r="A37" s="1404"/>
      <c r="B37" s="1405" t="s">
        <v>984</v>
      </c>
      <c r="C37" s="1406" t="e">
        <f>IF('Copy &amp; Paste'!B14="ja",FIXED(Pauschal!I14,2)&amp;" €",FIXED(Ergebnis!B83,2)&amp;" €")</f>
        <v>#VALUE!</v>
      </c>
      <c r="D37" s="1397"/>
      <c r="E37" s="1397"/>
      <c r="F37" s="1398"/>
      <c r="G37" s="1396"/>
      <c r="H37" s="1396"/>
      <c r="I37" s="1396"/>
      <c r="J37" s="1396"/>
      <c r="K37" s="1396"/>
      <c r="L37" s="1396"/>
      <c r="M37" s="1396"/>
      <c r="N37" s="1396"/>
      <c r="O37" s="1396"/>
      <c r="P37" s="1396"/>
      <c r="Q37" s="1396"/>
      <c r="R37" s="1396"/>
      <c r="S37" s="1396"/>
      <c r="T37" s="1396"/>
      <c r="U37" s="1396"/>
      <c r="V37" s="1396"/>
      <c r="W37" s="1396"/>
      <c r="X37" s="1396"/>
      <c r="Y37" s="1396"/>
      <c r="Z37" s="1396"/>
    </row>
    <row r="38" spans="1:26" ht="16.5" thickBot="1">
      <c r="A38" s="1351"/>
      <c r="B38" s="1407"/>
      <c r="C38" s="1407"/>
      <c r="D38" s="3656"/>
      <c r="E38" s="3656"/>
      <c r="F38" s="1398"/>
      <c r="G38" s="1396"/>
      <c r="H38" s="1396"/>
      <c r="I38" s="1396"/>
      <c r="J38" s="1396"/>
      <c r="K38" s="1396"/>
      <c r="L38" s="1396"/>
      <c r="M38" s="1396"/>
      <c r="N38" s="1396"/>
      <c r="O38" s="1396"/>
      <c r="P38" s="1396"/>
      <c r="Q38" s="1396"/>
      <c r="R38" s="1396"/>
      <c r="S38" s="1396"/>
      <c r="T38" s="1396"/>
      <c r="U38" s="1396"/>
      <c r="V38" s="1396"/>
      <c r="W38" s="1396"/>
      <c r="X38" s="1396"/>
      <c r="Y38" s="1396"/>
      <c r="Z38" s="1396"/>
    </row>
    <row r="39" spans="1:26" ht="15.75" outlineLevel="1" thickBot="1">
      <c r="A39" s="4551" t="s">
        <v>2268</v>
      </c>
      <c r="B39" s="4552"/>
      <c r="C39" s="4552"/>
      <c r="D39" s="4552"/>
      <c r="E39" s="4552"/>
      <c r="F39" s="4553"/>
      <c r="G39" s="1396"/>
      <c r="H39" s="1396"/>
      <c r="I39" s="1396"/>
      <c r="J39" s="1396"/>
      <c r="K39" s="1396"/>
      <c r="L39" s="1396"/>
      <c r="M39" s="1396"/>
      <c r="N39" s="1396"/>
      <c r="O39" s="1396"/>
      <c r="P39" s="1396"/>
      <c r="Q39" s="1396"/>
      <c r="R39" s="1396"/>
      <c r="S39" s="1396"/>
      <c r="T39" s="1396"/>
      <c r="U39" s="1396"/>
      <c r="V39" s="1396"/>
      <c r="W39" s="1396"/>
      <c r="X39" s="1396"/>
      <c r="Y39" s="1396"/>
      <c r="Z39" s="1396"/>
    </row>
    <row r="40" spans="1:26" ht="16.5" outlineLevel="1" thickBot="1">
      <c r="A40" s="1351"/>
      <c r="B40" s="1407"/>
      <c r="C40" s="1407"/>
      <c r="D40" s="3656"/>
      <c r="E40" s="3656"/>
      <c r="F40" s="1398"/>
      <c r="G40" s="1396"/>
      <c r="H40" s="1396"/>
      <c r="I40" s="1396"/>
      <c r="J40" s="1396"/>
      <c r="K40" s="1396"/>
      <c r="L40" s="1396"/>
      <c r="M40" s="1396"/>
      <c r="N40" s="1396"/>
      <c r="O40" s="1396"/>
      <c r="P40" s="1396"/>
      <c r="Q40" s="1396"/>
      <c r="R40" s="1396"/>
      <c r="S40" s="1396"/>
      <c r="T40" s="1396"/>
      <c r="U40" s="1396"/>
      <c r="V40" s="1396"/>
      <c r="W40" s="1396"/>
      <c r="X40" s="1396"/>
      <c r="Y40" s="1396"/>
      <c r="Z40" s="1396"/>
    </row>
    <row r="41" spans="1:26" ht="19.5" outlineLevel="1" thickBot="1">
      <c r="A41" s="1376"/>
      <c r="B41" s="1360" t="s">
        <v>1</v>
      </c>
      <c r="C41" s="1360" t="s">
        <v>2</v>
      </c>
      <c r="D41" s="1360" t="s">
        <v>3</v>
      </c>
      <c r="E41" s="1360" t="s">
        <v>4</v>
      </c>
      <c r="F41" s="1360" t="s">
        <v>5</v>
      </c>
      <c r="G41" s="1396"/>
      <c r="H41" s="1396"/>
      <c r="I41" s="1396"/>
      <c r="J41" s="1396"/>
      <c r="K41" s="1396"/>
      <c r="L41" s="1396"/>
      <c r="M41" s="1396"/>
      <c r="N41" s="1396"/>
      <c r="O41" s="1396"/>
      <c r="P41" s="1396"/>
      <c r="Q41" s="1396"/>
      <c r="R41" s="1396"/>
      <c r="S41" s="1396"/>
      <c r="T41" s="1396"/>
      <c r="U41" s="1396"/>
      <c r="V41" s="1396"/>
      <c r="W41" s="1396"/>
      <c r="X41" s="1396"/>
      <c r="Y41" s="1396"/>
      <c r="Z41" s="1396"/>
    </row>
    <row r="42" spans="1:26" ht="15.75" outlineLevel="1">
      <c r="A42" s="1377" t="s">
        <v>221</v>
      </c>
      <c r="B42" s="3673" t="e">
        <f>IF('Copy &amp; Paste'!B14="ja",FIXED(Pauschal!J19,2)&amp;" €",FIXED(Ergebnis!#REF!,2)&amp;" €")</f>
        <v>#REF!</v>
      </c>
      <c r="C42" s="3673" t="e">
        <f>IF('Copy &amp; Paste'!B14="ja",FIXED(Pauschal!J20,2)&amp;" €",FIXED(Ergebnis!#REF!,2)&amp;" €")</f>
        <v>#REF!</v>
      </c>
      <c r="D42" s="3673" t="e">
        <f>IF('Copy &amp; Paste'!B14="ja",FIXED(Pauschal!J21,2)&amp;" €",FIXED(Ergebnis!#REF!,2)&amp;" €")</f>
        <v>#REF!</v>
      </c>
      <c r="E42" s="3673" t="e">
        <f>IF('Copy &amp; Paste'!B14="ja",FIXED(Pauschal!J22,2)&amp;" €",FIXED(Ergebnis!#REF!,2)&amp;" €")</f>
        <v>#REF!</v>
      </c>
      <c r="F42" s="3674" t="e">
        <f>IF('Copy &amp; Paste'!B14="ja",FIXED(Pauschal!J23,2)&amp;" €",FIXED(Ergebnis!#REF!,2)&amp;" €")</f>
        <v>#REF!</v>
      </c>
      <c r="G42" s="1396"/>
      <c r="H42" s="1396"/>
      <c r="I42" s="1396"/>
      <c r="J42" s="1396"/>
      <c r="K42" s="1396"/>
      <c r="L42" s="1396"/>
      <c r="M42" s="1396"/>
      <c r="N42" s="1396"/>
      <c r="O42" s="1396"/>
      <c r="P42" s="1396"/>
      <c r="Q42" s="1396"/>
      <c r="R42" s="1396"/>
      <c r="S42" s="1396"/>
      <c r="T42" s="1396"/>
      <c r="U42" s="1396"/>
      <c r="V42" s="1396"/>
      <c r="W42" s="1396"/>
      <c r="X42" s="1396"/>
      <c r="Y42" s="1396"/>
      <c r="Z42" s="1396"/>
    </row>
    <row r="43" spans="1:26" ht="16.5" outlineLevel="1" thickBot="1">
      <c r="A43" s="1351"/>
      <c r="B43" s="1407"/>
      <c r="C43" s="1407"/>
      <c r="D43" s="3656"/>
      <c r="E43" s="3656"/>
      <c r="F43" s="1398"/>
      <c r="G43" s="1396"/>
      <c r="H43" s="1396"/>
      <c r="I43" s="1396"/>
      <c r="J43" s="1396"/>
      <c r="K43" s="1396"/>
      <c r="L43" s="1396"/>
      <c r="M43" s="1396"/>
      <c r="N43" s="1396"/>
      <c r="O43" s="1396"/>
      <c r="P43" s="1396"/>
      <c r="Q43" s="1396"/>
      <c r="R43" s="1396"/>
      <c r="S43" s="1396"/>
      <c r="T43" s="1396"/>
      <c r="U43" s="1396"/>
      <c r="V43" s="1396"/>
      <c r="W43" s="1396"/>
      <c r="X43" s="1396"/>
      <c r="Y43" s="1396"/>
      <c r="Z43" s="1396"/>
    </row>
    <row r="44" spans="1:26" ht="15.75" outlineLevel="1">
      <c r="A44" s="1401" t="s">
        <v>983</v>
      </c>
      <c r="B44" s="1402"/>
      <c r="C44" s="3675" t="e">
        <f>IF('Copy &amp; Paste'!B14="ja",FIXED(Pauschal!J13,2)&amp;" €",FIXED(Ergebnis!#REF!,2)&amp;" €")</f>
        <v>#REF!</v>
      </c>
      <c r="D44" s="3656"/>
      <c r="E44" s="3656"/>
      <c r="F44" s="1398"/>
      <c r="G44" s="1396"/>
      <c r="H44" s="1396"/>
      <c r="I44" s="1396"/>
      <c r="J44" s="1396"/>
      <c r="K44" s="1396"/>
      <c r="L44" s="1396"/>
      <c r="M44" s="1396"/>
      <c r="N44" s="1396"/>
      <c r="O44" s="1396"/>
      <c r="P44" s="1396"/>
      <c r="Q44" s="1396"/>
      <c r="R44" s="1396"/>
      <c r="S44" s="1396"/>
      <c r="T44" s="1396"/>
      <c r="U44" s="1396"/>
      <c r="V44" s="1396"/>
      <c r="W44" s="1396"/>
      <c r="X44" s="1396"/>
      <c r="Y44" s="1396"/>
      <c r="Z44" s="1396"/>
    </row>
    <row r="45" spans="1:26" ht="16.5" outlineLevel="1" thickBot="1">
      <c r="A45" s="1404"/>
      <c r="B45" s="1405" t="s">
        <v>984</v>
      </c>
      <c r="C45" s="3676" t="e">
        <f>IF('Copy &amp; Paste'!B14="ja",FIXED(Pauschal!J14,2)&amp;" €",FIXED(Ergebnis!#REF!,2)&amp;" €")</f>
        <v>#REF!</v>
      </c>
      <c r="D45" s="3656"/>
      <c r="E45" s="3656"/>
      <c r="F45" s="1398"/>
      <c r="G45" s="1396"/>
      <c r="H45" s="1396"/>
      <c r="I45" s="1396"/>
      <c r="J45" s="1396"/>
      <c r="K45" s="1396"/>
      <c r="L45" s="1396"/>
      <c r="M45" s="1396"/>
      <c r="N45" s="1396"/>
      <c r="O45" s="1396"/>
      <c r="P45" s="1396"/>
      <c r="Q45" s="1396"/>
      <c r="R45" s="1396"/>
      <c r="S45" s="1396"/>
      <c r="T45" s="1396"/>
      <c r="U45" s="1396"/>
      <c r="V45" s="1396"/>
      <c r="W45" s="1396"/>
      <c r="X45" s="1396"/>
      <c r="Y45" s="1396"/>
      <c r="Z45" s="1396"/>
    </row>
    <row r="46" spans="1:26" ht="16.5" thickBot="1">
      <c r="A46" s="1351"/>
      <c r="B46" s="1407"/>
      <c r="C46" s="1407"/>
      <c r="D46" s="1397"/>
      <c r="E46" s="1397"/>
      <c r="F46" s="1398"/>
      <c r="G46" s="1396"/>
      <c r="H46" s="1396"/>
      <c r="I46" s="1396"/>
      <c r="J46" s="1396"/>
      <c r="K46" s="1396"/>
      <c r="L46" s="1396"/>
      <c r="M46" s="1396"/>
      <c r="N46" s="1396"/>
      <c r="O46" s="1396"/>
      <c r="P46" s="1396"/>
      <c r="Q46" s="1396"/>
      <c r="R46" s="1396"/>
      <c r="S46" s="1396"/>
      <c r="T46" s="1396"/>
      <c r="U46" s="1396"/>
      <c r="V46" s="1396"/>
      <c r="W46" s="1396"/>
      <c r="X46" s="1396"/>
      <c r="Y46" s="1396"/>
      <c r="Z46" s="1396"/>
    </row>
    <row r="47" spans="1:26" ht="21" customHeight="1" outlineLevel="1" thickBot="1">
      <c r="A47" s="4541" t="s">
        <v>1425</v>
      </c>
      <c r="B47" s="4542"/>
      <c r="C47" s="4542"/>
      <c r="D47" s="4542"/>
      <c r="E47" s="4542"/>
      <c r="F47" s="4543"/>
      <c r="G47" s="1396"/>
      <c r="H47" s="1396"/>
      <c r="I47" s="1396"/>
      <c r="J47" s="1396"/>
      <c r="K47" s="1396"/>
      <c r="L47" s="1396"/>
      <c r="M47" s="1396"/>
      <c r="N47" s="1396"/>
      <c r="O47" s="1396"/>
      <c r="P47" s="1396"/>
      <c r="Q47" s="1396"/>
      <c r="R47" s="1396"/>
      <c r="S47" s="1396"/>
      <c r="T47" s="1396"/>
      <c r="U47" s="1396"/>
      <c r="V47" s="1396"/>
      <c r="W47" s="1396"/>
      <c r="X47" s="1396"/>
      <c r="Y47" s="1396"/>
      <c r="Z47" s="1396"/>
    </row>
    <row r="48" spans="1:26" ht="21" customHeight="1" outlineLevel="1" thickBot="1">
      <c r="A48" s="1408" t="s">
        <v>1352</v>
      </c>
      <c r="B48" s="1409">
        <f>Kurzzeitpflege!F10</f>
        <v>45717</v>
      </c>
      <c r="C48" s="1410" t="s">
        <v>21</v>
      </c>
      <c r="D48" s="1409">
        <f>Kurzzeitpflege!G10</f>
        <v>46081</v>
      </c>
      <c r="E48" s="1411"/>
      <c r="F48" s="1412"/>
      <c r="G48" s="1396"/>
      <c r="H48" s="1396"/>
      <c r="I48" s="1396"/>
      <c r="J48" s="1396"/>
      <c r="K48" s="1396"/>
      <c r="L48" s="1396"/>
      <c r="M48" s="1396"/>
      <c r="N48" s="1396"/>
      <c r="O48" s="1396"/>
      <c r="P48" s="1396"/>
      <c r="Q48" s="1396"/>
      <c r="R48" s="1396"/>
      <c r="S48" s="1396"/>
      <c r="T48" s="1396"/>
      <c r="U48" s="1396"/>
      <c r="V48" s="1396"/>
      <c r="W48" s="1396"/>
      <c r="X48" s="1396"/>
      <c r="Y48" s="1396"/>
      <c r="Z48" s="1396"/>
    </row>
    <row r="49" spans="1:26" ht="15.75" outlineLevel="1" thickBot="1">
      <c r="A49" s="1404"/>
      <c r="B49" s="4525" t="s">
        <v>1217</v>
      </c>
      <c r="C49" s="4526"/>
      <c r="D49" s="4526"/>
      <c r="E49" s="4526"/>
      <c r="F49" s="4527"/>
      <c r="G49" s="1396"/>
      <c r="H49" s="1396"/>
      <c r="I49" s="1396"/>
      <c r="J49" s="1396"/>
      <c r="K49" s="1396"/>
      <c r="L49" s="1396"/>
      <c r="M49" s="1396"/>
      <c r="N49" s="1396"/>
      <c r="O49" s="1396"/>
      <c r="P49" s="1396"/>
      <c r="Q49" s="1396"/>
      <c r="R49" s="1396"/>
      <c r="S49" s="1396"/>
      <c r="T49" s="1396"/>
      <c r="U49" s="1396"/>
      <c r="V49" s="1396"/>
      <c r="W49" s="1396"/>
      <c r="X49" s="1396"/>
      <c r="Y49" s="1396"/>
      <c r="Z49" s="1396"/>
    </row>
    <row r="50" spans="1:26" ht="19.5" outlineLevel="1" thickBot="1">
      <c r="A50" s="1376"/>
      <c r="B50" s="1360" t="s">
        <v>1</v>
      </c>
      <c r="C50" s="1360" t="s">
        <v>2</v>
      </c>
      <c r="D50" s="1360" t="s">
        <v>3</v>
      </c>
      <c r="E50" s="1360" t="s">
        <v>4</v>
      </c>
      <c r="F50" s="1360" t="s">
        <v>5</v>
      </c>
      <c r="G50" s="1396"/>
      <c r="H50" s="1396"/>
      <c r="I50" s="1396"/>
      <c r="J50" s="1396"/>
      <c r="K50" s="1396"/>
      <c r="L50" s="1396"/>
      <c r="M50" s="1396"/>
      <c r="N50" s="1396"/>
      <c r="O50" s="1396"/>
      <c r="P50" s="1396"/>
      <c r="Q50" s="1396"/>
      <c r="R50" s="1396"/>
      <c r="S50" s="1396"/>
      <c r="T50" s="1396"/>
      <c r="U50" s="1396"/>
      <c r="V50" s="1396"/>
      <c r="W50" s="1396"/>
      <c r="X50" s="1396"/>
      <c r="Y50" s="1396"/>
      <c r="Z50" s="1396"/>
    </row>
    <row r="51" spans="1:26" ht="15.75" outlineLevel="1">
      <c r="A51" s="1377" t="s">
        <v>221</v>
      </c>
      <c r="B51" s="1378" t="str">
        <f>IF('Copy &amp; Paste'!$I$12&gt;0,FIXED(Kurzzeitpflege!C45,2)&amp;" €","")</f>
        <v/>
      </c>
      <c r="C51" s="1378" t="str">
        <f>IF('Copy &amp; Paste'!$I$12&gt;0,FIXED(Kurzzeitpflege!D45,2)&amp;" €","")</f>
        <v/>
      </c>
      <c r="D51" s="1378" t="str">
        <f>IF('Copy &amp; Paste'!$I$12&gt;0,FIXED(Kurzzeitpflege!E45,2)&amp;" €","")</f>
        <v/>
      </c>
      <c r="E51" s="1378" t="str">
        <f>IF('Copy &amp; Paste'!$I$12&gt;0,FIXED(Kurzzeitpflege!F45,2)&amp;" €","")</f>
        <v/>
      </c>
      <c r="F51" s="1379" t="str">
        <f>IF('Copy &amp; Paste'!$I$12&gt;0,FIXED(Kurzzeitpflege!G45,2)&amp;" €","")</f>
        <v/>
      </c>
      <c r="G51" s="1396"/>
      <c r="H51" s="1396"/>
      <c r="I51" s="1396"/>
      <c r="J51" s="1396"/>
      <c r="K51" s="1396"/>
      <c r="L51" s="1396"/>
      <c r="M51" s="1396"/>
      <c r="N51" s="1396"/>
      <c r="O51" s="1396"/>
      <c r="P51" s="1396"/>
      <c r="Q51" s="1396"/>
      <c r="R51" s="1396"/>
      <c r="S51" s="1396"/>
      <c r="T51" s="1396"/>
      <c r="U51" s="1396"/>
      <c r="V51" s="1396"/>
      <c r="W51" s="1396"/>
      <c r="X51" s="1396"/>
      <c r="Y51" s="1396"/>
      <c r="Z51" s="1396"/>
    </row>
    <row r="52" spans="1:26" ht="15.75" customHeight="1" outlineLevel="1">
      <c r="A52" s="1380" t="s">
        <v>238</v>
      </c>
      <c r="B52" s="1381" t="str">
        <f>IF('Copy &amp; Paste'!$I$12&gt;0,FIXED(Kurzzeitpflege!D56,2)&amp;" €","")</f>
        <v/>
      </c>
      <c r="C52" s="1382" t="str">
        <f>B52</f>
        <v/>
      </c>
      <c r="D52" s="1382" t="str">
        <f>B52</f>
        <v/>
      </c>
      <c r="E52" s="1382" t="str">
        <f>B52</f>
        <v/>
      </c>
      <c r="F52" s="1383" t="str">
        <f>B52</f>
        <v/>
      </c>
      <c r="G52" s="1396"/>
      <c r="H52" s="1396"/>
      <c r="I52" s="1396"/>
      <c r="J52" s="1396"/>
      <c r="K52" s="1396"/>
      <c r="L52" s="1396"/>
      <c r="M52" s="1396"/>
      <c r="N52" s="1396"/>
      <c r="O52" s="1396"/>
      <c r="P52" s="1396"/>
      <c r="Q52" s="1396"/>
      <c r="R52" s="1396"/>
      <c r="S52" s="1396"/>
      <c r="T52" s="1396"/>
      <c r="U52" s="1396"/>
      <c r="V52" s="1396"/>
      <c r="W52" s="1396"/>
      <c r="X52" s="1396"/>
      <c r="Y52" s="1396"/>
      <c r="Z52" s="1396"/>
    </row>
    <row r="53" spans="1:26" ht="16.5" outlineLevel="1" thickBot="1">
      <c r="A53" s="1380" t="s">
        <v>239</v>
      </c>
      <c r="B53" s="1381" t="str">
        <f>IF('Copy &amp; Paste'!$I$12&gt;0,FIXED(Kurzzeitpflege!E56,2)&amp;" €","")</f>
        <v/>
      </c>
      <c r="C53" s="1382" t="str">
        <f>B53</f>
        <v/>
      </c>
      <c r="D53" s="1382" t="str">
        <f>B53</f>
        <v/>
      </c>
      <c r="E53" s="1382" t="str">
        <f>B53</f>
        <v/>
      </c>
      <c r="F53" s="1383" t="str">
        <f>B53</f>
        <v/>
      </c>
      <c r="G53" s="1396"/>
      <c r="H53" s="1396"/>
      <c r="I53" s="1396"/>
      <c r="J53" s="1396"/>
      <c r="K53" s="1396"/>
      <c r="L53" s="1396"/>
      <c r="M53" s="1396"/>
      <c r="N53" s="1396"/>
      <c r="O53" s="1396"/>
      <c r="P53" s="1396"/>
      <c r="Q53" s="1396"/>
      <c r="R53" s="1396"/>
      <c r="S53" s="1396"/>
      <c r="T53" s="1396"/>
      <c r="U53" s="1396"/>
      <c r="V53" s="1396"/>
      <c r="W53" s="1396"/>
      <c r="X53" s="1396"/>
      <c r="Y53" s="1396"/>
      <c r="Z53" s="1396"/>
    </row>
    <row r="54" spans="1:26" ht="16.5" outlineLevel="1" thickBot="1">
      <c r="A54" s="1384" t="s">
        <v>81</v>
      </c>
      <c r="B54" s="1387" t="e">
        <f>FIXED(B51+B52+B53,2)&amp;" €"</f>
        <v>#VALUE!</v>
      </c>
      <c r="C54" s="1387" t="e">
        <f>FIXED(C51+C52+C53,2)&amp;" €"</f>
        <v>#VALUE!</v>
      </c>
      <c r="D54" s="1387" t="e">
        <f>FIXED(D51+D52+D53,2)&amp;" €"</f>
        <v>#VALUE!</v>
      </c>
      <c r="E54" s="1387" t="e">
        <f>FIXED(E51+E52+E53,2)&amp;" €"</f>
        <v>#VALUE!</v>
      </c>
      <c r="F54" s="1388" t="e">
        <f>FIXED(F51+F52+F53,2)&amp;" €"</f>
        <v>#VALUE!</v>
      </c>
      <c r="G54" s="1396"/>
      <c r="H54" s="1396"/>
      <c r="I54" s="1396"/>
      <c r="J54" s="1396"/>
      <c r="K54" s="1396"/>
      <c r="L54" s="1396"/>
      <c r="M54" s="1396"/>
      <c r="N54" s="1396"/>
      <c r="O54" s="1396"/>
      <c r="P54" s="1396"/>
      <c r="Q54" s="1396"/>
      <c r="R54" s="1396"/>
      <c r="S54" s="1396"/>
      <c r="T54" s="1396"/>
      <c r="U54" s="1396"/>
      <c r="V54" s="1396"/>
      <c r="W54" s="1396"/>
      <c r="X54" s="1396"/>
      <c r="Y54" s="1396"/>
      <c r="Z54" s="1396"/>
    </row>
    <row r="55" spans="1:26" ht="15.75" outlineLevel="1">
      <c r="A55" s="1390"/>
      <c r="B55" s="1391"/>
      <c r="C55" s="1391"/>
      <c r="D55" s="1391"/>
      <c r="E55" s="1391"/>
      <c r="F55" s="1392"/>
      <c r="G55" s="1396"/>
      <c r="H55" s="1396"/>
      <c r="I55" s="1396"/>
      <c r="J55" s="1396"/>
      <c r="K55" s="1396"/>
      <c r="L55" s="1396"/>
      <c r="M55" s="1396"/>
      <c r="N55" s="1396"/>
      <c r="O55" s="1396"/>
      <c r="P55" s="1396"/>
      <c r="Q55" s="1396"/>
      <c r="R55" s="1396"/>
      <c r="S55" s="1396"/>
      <c r="T55" s="1396"/>
      <c r="U55" s="1396"/>
      <c r="V55" s="1396"/>
      <c r="W55" s="1396"/>
      <c r="X55" s="1396"/>
      <c r="Y55" s="1396"/>
      <c r="Z55" s="1396"/>
    </row>
    <row r="56" spans="1:26" ht="15.75" outlineLevel="1">
      <c r="A56" s="1413"/>
      <c r="B56" s="1414"/>
      <c r="C56" s="1415"/>
      <c r="D56" s="4545"/>
      <c r="E56" s="4546"/>
      <c r="F56" s="4547"/>
      <c r="G56" s="1396"/>
      <c r="H56" s="1396"/>
      <c r="I56" s="1396"/>
      <c r="J56" s="1396"/>
      <c r="K56" s="1396"/>
      <c r="L56" s="1396"/>
      <c r="M56" s="1396"/>
      <c r="N56" s="1396"/>
      <c r="O56" s="1396"/>
      <c r="P56" s="1396"/>
      <c r="Q56" s="1396"/>
      <c r="R56" s="1396"/>
      <c r="S56" s="1396"/>
      <c r="T56" s="1396"/>
      <c r="U56" s="1396"/>
      <c r="V56" s="1396"/>
      <c r="W56" s="1396"/>
      <c r="X56" s="1396"/>
      <c r="Y56" s="1396"/>
      <c r="Z56" s="1396"/>
    </row>
    <row r="57" spans="1:26" ht="15.75" outlineLevel="1">
      <c r="A57" s="1393" t="s">
        <v>1517</v>
      </c>
      <c r="B57" s="1394"/>
      <c r="C57" s="1395" t="str">
        <f>IF('Copy &amp; Paste'!I12&lt;1,"",FIXED(Kurzzeitpflege!C56,2)&amp;" €")</f>
        <v/>
      </c>
      <c r="D57" s="4545"/>
      <c r="E57" s="4546"/>
      <c r="F57" s="4547"/>
      <c r="G57" s="1396"/>
      <c r="H57" s="1396"/>
      <c r="I57" s="1396"/>
      <c r="J57" s="1396"/>
      <c r="K57" s="1396"/>
      <c r="L57" s="1396"/>
      <c r="M57" s="1396"/>
      <c r="N57" s="1396"/>
      <c r="O57" s="1396"/>
      <c r="P57" s="1396"/>
      <c r="Q57" s="1396"/>
      <c r="R57" s="1396"/>
      <c r="S57" s="1396"/>
      <c r="T57" s="1396"/>
      <c r="U57" s="1396"/>
      <c r="V57" s="1396"/>
      <c r="W57" s="1396"/>
      <c r="X57" s="1396"/>
      <c r="Y57" s="1396"/>
      <c r="Z57" s="1396"/>
    </row>
    <row r="58" spans="1:26" ht="15.75" outlineLevel="1">
      <c r="A58" s="1393" t="s">
        <v>1518</v>
      </c>
      <c r="B58" s="1394"/>
      <c r="C58" s="1395" t="str">
        <f>IF('Copy &amp; Paste'!I12&lt;1,"",FIXED(Kurzzeitpflege!F56,2)&amp;" €")</f>
        <v/>
      </c>
      <c r="D58" s="1397"/>
      <c r="E58" s="1397"/>
      <c r="F58" s="1398"/>
      <c r="G58" s="1396"/>
      <c r="H58" s="1396"/>
      <c r="I58" s="1396"/>
      <c r="J58" s="1396"/>
      <c r="K58" s="1396"/>
      <c r="L58" s="1396"/>
      <c r="M58" s="1396"/>
      <c r="N58" s="1396"/>
      <c r="O58" s="1396"/>
      <c r="P58" s="1396"/>
      <c r="Q58" s="1396"/>
      <c r="R58" s="1396"/>
      <c r="S58" s="1396"/>
      <c r="T58" s="1396"/>
      <c r="U58" s="1396"/>
      <c r="V58" s="1396"/>
      <c r="W58" s="1396"/>
      <c r="X58" s="1396"/>
      <c r="Y58" s="1396"/>
      <c r="Z58" s="1396"/>
    </row>
    <row r="59" spans="1:26" ht="14.25" customHeight="1" outlineLevel="1">
      <c r="A59" s="1393" t="s">
        <v>1519</v>
      </c>
      <c r="B59" s="1394"/>
      <c r="C59" s="1395" t="str">
        <f>IF('Copy &amp; Paste'!I12&lt;1,"",FIXED(Kurzzeitpflege!D56+Kurzzeitpflege!F56,2)&amp;" €")</f>
        <v/>
      </c>
      <c r="D59" s="1399"/>
      <c r="E59" s="1400"/>
      <c r="F59" s="1398"/>
      <c r="G59" s="1396"/>
      <c r="H59" s="1396"/>
      <c r="I59" s="1396"/>
      <c r="J59" s="1396"/>
      <c r="K59" s="1396"/>
      <c r="L59" s="1396"/>
      <c r="M59" s="1396"/>
      <c r="N59" s="1396"/>
      <c r="O59" s="1396"/>
      <c r="P59" s="1396"/>
      <c r="Q59" s="1396"/>
      <c r="R59" s="1396"/>
      <c r="S59" s="1396"/>
      <c r="T59" s="1396"/>
      <c r="U59" s="1396"/>
      <c r="V59" s="1396"/>
      <c r="W59" s="1396"/>
      <c r="X59" s="1396"/>
      <c r="Y59" s="1396"/>
      <c r="Z59" s="1396"/>
    </row>
    <row r="60" spans="1:26" ht="14.25" customHeight="1" outlineLevel="1" thickBot="1">
      <c r="A60" s="1351"/>
      <c r="B60" s="1416"/>
      <c r="C60" s="1416"/>
      <c r="D60" s="1397"/>
      <c r="E60" s="1417"/>
      <c r="F60" s="1398"/>
      <c r="G60" s="1396"/>
      <c r="H60" s="1396"/>
      <c r="I60" s="1396"/>
      <c r="J60" s="1396"/>
      <c r="K60" s="1396"/>
      <c r="L60" s="1396"/>
      <c r="M60" s="1396"/>
      <c r="N60" s="1396"/>
      <c r="O60" s="1396"/>
      <c r="P60" s="1396"/>
      <c r="Q60" s="1396"/>
      <c r="R60" s="1396"/>
      <c r="S60" s="1396"/>
      <c r="T60" s="1396"/>
      <c r="U60" s="1396"/>
      <c r="V60" s="1396"/>
      <c r="W60" s="1396"/>
      <c r="X60" s="1396"/>
      <c r="Y60" s="1396"/>
      <c r="Z60" s="1396"/>
    </row>
    <row r="61" spans="1:26" ht="19.5" thickBot="1">
      <c r="A61" s="4561" t="s">
        <v>1635</v>
      </c>
      <c r="B61" s="4562"/>
      <c r="C61" s="4562"/>
      <c r="D61" s="4562"/>
      <c r="E61" s="4562"/>
      <c r="F61" s="4563"/>
      <c r="G61" s="1396"/>
      <c r="H61" s="1396"/>
      <c r="I61" s="1396"/>
      <c r="J61" s="1396"/>
      <c r="K61" s="1396"/>
      <c r="L61" s="1396"/>
      <c r="M61" s="1396"/>
      <c r="N61" s="1396"/>
      <c r="O61" s="1396"/>
      <c r="P61" s="1396"/>
      <c r="Q61" s="1396"/>
      <c r="R61" s="1396"/>
      <c r="S61" s="1396"/>
      <c r="T61" s="1396"/>
      <c r="U61" s="1396"/>
      <c r="V61" s="1396"/>
      <c r="W61" s="1396"/>
      <c r="X61" s="1396"/>
      <c r="Y61" s="1396"/>
      <c r="Z61" s="1396"/>
    </row>
    <row r="62" spans="1:26" ht="45">
      <c r="A62" s="1351"/>
      <c r="B62" s="1397"/>
      <c r="C62" s="1397"/>
      <c r="D62" s="1397"/>
      <c r="E62" s="1417"/>
      <c r="F62" s="3076" t="s">
        <v>1213</v>
      </c>
      <c r="G62" s="1396"/>
      <c r="H62" s="1396"/>
      <c r="I62" s="1396"/>
      <c r="J62" s="1396"/>
      <c r="K62" s="1396"/>
      <c r="L62" s="1396"/>
      <c r="M62" s="1396"/>
      <c r="N62" s="1396"/>
      <c r="O62" s="1396"/>
      <c r="P62" s="1396"/>
      <c r="Q62" s="1396"/>
      <c r="R62" s="1396"/>
      <c r="S62" s="1396"/>
      <c r="T62" s="1396"/>
      <c r="U62" s="1396"/>
      <c r="V62" s="1396"/>
      <c r="W62" s="1396"/>
      <c r="X62" s="1396"/>
      <c r="Y62" s="1396"/>
      <c r="Z62" s="1396"/>
    </row>
    <row r="63" spans="1:26" ht="14.25" customHeight="1">
      <c r="A63" s="1418" t="s">
        <v>896</v>
      </c>
      <c r="B63" s="1419">
        <f>IF('Copy &amp; Paste'!B14="ja",Pauschal!D3,'84 8 Vorbereitung'!K2)</f>
        <v>45717</v>
      </c>
      <c r="C63" s="1420" t="str">
        <f>'84 8 Übersicht'!D33</f>
        <v/>
      </c>
      <c r="D63" s="1421" t="str">
        <f>IF(ISTEXT('84 8 Vorbereitung'!G6),'84 8 Übersicht'!D43,'84 8 Übersicht'!D41)</f>
        <v/>
      </c>
      <c r="E63" s="1422" t="str">
        <f>IF('Copy &amp; Paste'!H12="","",IF(ISTEXT('84 8 Vorbereitung'!G6),'84 8 Übersicht'!D48,'84 8 Übersicht'!D46))</f>
        <v/>
      </c>
      <c r="F63" s="1423">
        <v>831912</v>
      </c>
      <c r="G63" s="1396"/>
      <c r="H63" s="1396"/>
      <c r="I63" s="1396"/>
      <c r="J63" s="1396"/>
      <c r="K63" s="1396"/>
      <c r="L63" s="1396"/>
      <c r="M63" s="1396"/>
      <c r="N63" s="1396"/>
      <c r="O63" s="1396"/>
      <c r="P63" s="1396"/>
      <c r="Q63" s="1396"/>
      <c r="R63" s="1396"/>
      <c r="S63" s="1396"/>
      <c r="T63" s="1396"/>
      <c r="U63" s="1396"/>
      <c r="V63" s="1396"/>
      <c r="W63" s="1396"/>
      <c r="X63" s="1396"/>
      <c r="Y63" s="1396"/>
      <c r="Z63" s="1396"/>
    </row>
    <row r="64" spans="1:26" ht="14.25" customHeight="1">
      <c r="A64" s="1418"/>
      <c r="B64" s="2809"/>
      <c r="C64" s="2810"/>
      <c r="D64" s="2811"/>
      <c r="E64" s="2812"/>
      <c r="F64" s="2813"/>
      <c r="G64" s="1396"/>
      <c r="H64" s="1396"/>
      <c r="I64" s="1396"/>
      <c r="J64" s="1396"/>
      <c r="K64" s="1396"/>
      <c r="L64" s="1396"/>
      <c r="M64" s="1396"/>
      <c r="N64" s="1396"/>
      <c r="O64" s="1396"/>
      <c r="P64" s="1396"/>
      <c r="Q64" s="1396"/>
      <c r="R64" s="1396"/>
      <c r="S64" s="1396"/>
      <c r="T64" s="1396"/>
      <c r="U64" s="1396"/>
      <c r="V64" s="1396"/>
      <c r="W64" s="1396"/>
      <c r="X64" s="1396"/>
      <c r="Y64" s="1396"/>
      <c r="Z64" s="1396"/>
    </row>
    <row r="65" spans="1:26" ht="14.25" customHeight="1" thickBot="1">
      <c r="A65" s="1404"/>
      <c r="B65" s="1424"/>
      <c r="C65" s="1424"/>
      <c r="D65" s="1425"/>
      <c r="E65" s="1425"/>
      <c r="F65" s="1426"/>
      <c r="G65" s="1396"/>
      <c r="H65" s="1396"/>
      <c r="I65" s="1396"/>
      <c r="J65" s="1396"/>
      <c r="K65" s="1396"/>
      <c r="L65" s="1396"/>
      <c r="M65" s="1396"/>
      <c r="N65" s="1396"/>
      <c r="O65" s="1396"/>
      <c r="P65" s="1396"/>
      <c r="Q65" s="1396"/>
      <c r="R65" s="1396"/>
      <c r="S65" s="1396"/>
      <c r="T65" s="1396"/>
      <c r="U65" s="1396"/>
      <c r="V65" s="1396"/>
      <c r="W65" s="1396"/>
      <c r="X65" s="1396"/>
      <c r="Y65" s="1396"/>
      <c r="Z65" s="1396"/>
    </row>
    <row r="66" spans="1:26" ht="19.5" outlineLevel="1" thickBot="1">
      <c r="A66" s="4561" t="s">
        <v>1636</v>
      </c>
      <c r="B66" s="4562"/>
      <c r="C66" s="4562"/>
      <c r="D66" s="4562"/>
      <c r="E66" s="4562"/>
      <c r="F66" s="4563"/>
      <c r="G66" s="1396"/>
      <c r="H66" s="1396"/>
      <c r="I66" s="1396"/>
      <c r="J66" s="1396"/>
      <c r="K66" s="1396"/>
      <c r="L66" s="1396"/>
      <c r="M66" s="1396"/>
      <c r="N66" s="1396"/>
      <c r="O66" s="1396"/>
      <c r="P66" s="1396"/>
      <c r="Q66" s="1396"/>
      <c r="R66" s="1396"/>
      <c r="S66" s="1396"/>
      <c r="T66" s="1396"/>
      <c r="U66" s="1396"/>
      <c r="V66" s="1396"/>
      <c r="W66" s="1396"/>
      <c r="X66" s="1396"/>
      <c r="Y66" s="1396"/>
      <c r="Z66" s="1396"/>
    </row>
    <row r="67" spans="1:26" ht="15" customHeight="1" outlineLevel="1">
      <c r="A67" s="1351"/>
      <c r="B67" s="2744"/>
      <c r="C67" s="2744"/>
      <c r="D67" s="2744"/>
      <c r="E67" s="1417"/>
      <c r="F67" s="1392"/>
      <c r="G67" s="1396"/>
      <c r="H67" s="1396"/>
      <c r="I67" s="1396"/>
      <c r="J67" s="1396"/>
      <c r="K67" s="1396"/>
      <c r="L67" s="1396"/>
      <c r="M67" s="1396"/>
      <c r="N67" s="1396"/>
      <c r="O67" s="1396"/>
      <c r="P67" s="1396"/>
      <c r="Q67" s="1396"/>
      <c r="R67" s="1396"/>
      <c r="S67" s="1396"/>
      <c r="T67" s="1396"/>
      <c r="U67" s="1396"/>
      <c r="V67" s="1396"/>
      <c r="W67" s="1396"/>
      <c r="X67" s="1396"/>
      <c r="Y67" s="1396"/>
      <c r="Z67" s="1396"/>
    </row>
    <row r="68" spans="1:26" ht="14.25" customHeight="1" outlineLevel="1">
      <c r="A68" s="1418" t="s">
        <v>896</v>
      </c>
      <c r="B68" s="1419">
        <f>'84 9 Nachweis'!R8</f>
        <v>45717</v>
      </c>
      <c r="C68" s="2820" t="str">
        <f>'84 9 Nachweis'!O35</f>
        <v/>
      </c>
      <c r="D68" s="2821" t="e">
        <f>'84 9 Nachweis'!S40</f>
        <v>#VALUE!</v>
      </c>
      <c r="E68" s="1422">
        <f>'84 9 Nachweis'!S41</f>
        <v>0</v>
      </c>
      <c r="F68" s="1398"/>
      <c r="G68" s="1396"/>
      <c r="H68" s="1396"/>
      <c r="I68" s="1396"/>
      <c r="J68" s="1396"/>
      <c r="K68" s="1396"/>
      <c r="L68" s="1396"/>
      <c r="M68" s="1396"/>
      <c r="N68" s="1396"/>
      <c r="O68" s="1396"/>
      <c r="P68" s="1396"/>
      <c r="Q68" s="1396"/>
      <c r="R68" s="1396"/>
      <c r="S68" s="1396"/>
      <c r="T68" s="1396"/>
      <c r="U68" s="1396"/>
      <c r="V68" s="1396"/>
      <c r="W68" s="1396"/>
      <c r="X68" s="1396"/>
      <c r="Y68" s="1396"/>
      <c r="Z68" s="1396"/>
    </row>
    <row r="69" spans="1:26" ht="14.25" customHeight="1" outlineLevel="1">
      <c r="A69" s="1418"/>
      <c r="B69" s="2809"/>
      <c r="C69" s="2810"/>
      <c r="D69" s="2811"/>
      <c r="E69" s="2812"/>
      <c r="F69" s="2813"/>
      <c r="G69" s="1396"/>
      <c r="H69" s="1396"/>
      <c r="I69" s="1396"/>
      <c r="J69" s="1396"/>
      <c r="K69" s="1396"/>
      <c r="L69" s="1396"/>
      <c r="M69" s="1396"/>
      <c r="N69" s="1396"/>
      <c r="O69" s="1396"/>
      <c r="P69" s="1396"/>
      <c r="Q69" s="1396"/>
      <c r="R69" s="1396"/>
      <c r="S69" s="1396"/>
      <c r="T69" s="1396"/>
      <c r="U69" s="1396"/>
      <c r="V69" s="1396"/>
      <c r="W69" s="1396"/>
      <c r="X69" s="1396"/>
      <c r="Y69" s="1396"/>
      <c r="Z69" s="1396"/>
    </row>
    <row r="70" spans="1:26" ht="14.25" customHeight="1" thickBot="1">
      <c r="A70" s="2814"/>
      <c r="B70" s="2815"/>
      <c r="C70" s="2816"/>
      <c r="D70" s="2817"/>
      <c r="E70" s="2818"/>
      <c r="F70" s="2819"/>
      <c r="G70" s="1396"/>
      <c r="H70" s="1396"/>
      <c r="I70" s="1396"/>
      <c r="J70" s="1396"/>
      <c r="K70" s="1396"/>
      <c r="L70" s="1396"/>
      <c r="M70" s="1396"/>
      <c r="N70" s="1396"/>
      <c r="O70" s="1396"/>
      <c r="P70" s="1396"/>
      <c r="Q70" s="1396"/>
      <c r="R70" s="1396"/>
      <c r="S70" s="1396"/>
      <c r="T70" s="1396"/>
      <c r="U70" s="1396"/>
      <c r="V70" s="1396"/>
      <c r="W70" s="1396"/>
      <c r="X70" s="1396"/>
      <c r="Y70" s="1396"/>
      <c r="Z70" s="1396"/>
    </row>
    <row r="71" spans="1:26" ht="19.5" customHeight="1" outlineLevel="1" thickBot="1">
      <c r="A71" s="4561" t="s">
        <v>1634</v>
      </c>
      <c r="B71" s="4562"/>
      <c r="C71" s="4562"/>
      <c r="D71" s="4562"/>
      <c r="E71" s="4562"/>
      <c r="F71" s="4563"/>
      <c r="G71" s="1396"/>
      <c r="H71" s="1396"/>
      <c r="I71" s="1396"/>
      <c r="J71" s="1396"/>
      <c r="K71" s="1396"/>
      <c r="L71" s="1396"/>
      <c r="M71" s="1396"/>
      <c r="N71" s="1396"/>
      <c r="O71" s="1396"/>
      <c r="P71" s="1396"/>
      <c r="Q71" s="1396"/>
      <c r="R71" s="1396"/>
      <c r="S71" s="1396"/>
      <c r="T71" s="1396"/>
      <c r="U71" s="1396"/>
      <c r="V71" s="1396"/>
      <c r="W71" s="1396"/>
      <c r="X71" s="1396"/>
      <c r="Y71" s="1396"/>
      <c r="Z71" s="1396"/>
    </row>
    <row r="72" spans="1:26" ht="19.5" customHeight="1" outlineLevel="1" thickBot="1">
      <c r="A72" s="4581" t="s">
        <v>226</v>
      </c>
      <c r="B72" s="4582"/>
      <c r="C72" s="4581" t="s">
        <v>227</v>
      </c>
      <c r="D72" s="4582"/>
      <c r="E72" s="4582"/>
      <c r="F72" s="4583"/>
      <c r="G72" s="1396"/>
      <c r="H72" s="1396"/>
      <c r="I72" s="1396"/>
      <c r="J72" s="1396"/>
      <c r="K72" s="1396"/>
      <c r="L72" s="1396"/>
      <c r="M72" s="1396"/>
      <c r="N72" s="1396"/>
      <c r="O72" s="1396"/>
      <c r="P72" s="1396"/>
      <c r="Q72" s="1396"/>
      <c r="R72" s="1396"/>
      <c r="S72" s="1396"/>
      <c r="T72" s="1396"/>
      <c r="U72" s="1396"/>
      <c r="V72" s="1396"/>
      <c r="W72" s="1396"/>
      <c r="X72" s="1396"/>
      <c r="Y72" s="1396"/>
      <c r="Z72" s="1396"/>
    </row>
    <row r="73" spans="1:26" ht="14.25" customHeight="1" outlineLevel="1">
      <c r="A73" s="2822" t="str">
        <f>"Leitung der Pflegeeinrichtung         (ø PK: "&amp;FIXED(Ergebnis!F19,0)&amp;"€)"</f>
        <v>Leitung der Pflegeeinrichtung         (ø PK: 0€)</v>
      </c>
      <c r="B73" s="3806">
        <f>Ergebnis!E19</f>
        <v>0</v>
      </c>
      <c r="C73" s="1427"/>
      <c r="D73" s="1427"/>
      <c r="E73" s="1428" t="s">
        <v>228</v>
      </c>
      <c r="F73" s="1429" t="s">
        <v>229</v>
      </c>
      <c r="G73" s="1396"/>
      <c r="H73" s="1396"/>
      <c r="I73" s="1396"/>
      <c r="J73" s="1396"/>
      <c r="K73" s="1396"/>
      <c r="L73" s="1396"/>
      <c r="M73" s="1396"/>
      <c r="N73" s="1396"/>
      <c r="O73" s="1396"/>
      <c r="P73" s="1396"/>
      <c r="Q73" s="1396"/>
      <c r="R73" s="1396"/>
      <c r="S73" s="1396"/>
      <c r="T73" s="1396"/>
      <c r="U73" s="1396"/>
      <c r="V73" s="1396"/>
      <c r="W73" s="1396"/>
      <c r="X73" s="1396"/>
      <c r="Y73" s="1396"/>
      <c r="Z73" s="1396"/>
    </row>
    <row r="74" spans="1:26" ht="14.25" customHeight="1" outlineLevel="1">
      <c r="A74" s="1430" t="str">
        <f>"Verwaltung                                   (ø PK: "&amp;FIXED(Ergebnis!F20,0)&amp;"€)"</f>
        <v>Verwaltung                                   (ø PK: 0€)</v>
      </c>
      <c r="B74" s="3807">
        <f>Ergebnis!E20</f>
        <v>0</v>
      </c>
      <c r="C74" s="4559" t="s">
        <v>63</v>
      </c>
      <c r="D74" s="4560"/>
      <c r="E74" s="1431" t="e">
        <f>Ergebnis!G35+Ergebnis!G36</f>
        <v>#VALUE!</v>
      </c>
      <c r="F74" s="1432" t="e">
        <f>Ergebnis!H35+Ergebnis!H36</f>
        <v>#VALUE!</v>
      </c>
      <c r="G74" s="1396"/>
      <c r="H74" s="1396"/>
      <c r="I74" s="1396"/>
      <c r="J74" s="1396"/>
      <c r="K74" s="1396"/>
      <c r="L74" s="1396"/>
      <c r="M74" s="1396"/>
      <c r="N74" s="1396"/>
      <c r="O74" s="1396"/>
      <c r="P74" s="1396"/>
      <c r="Q74" s="1396"/>
      <c r="R74" s="1396"/>
      <c r="S74" s="1396"/>
      <c r="T74" s="1396"/>
      <c r="U74" s="1396"/>
      <c r="V74" s="1396"/>
      <c r="W74" s="1396"/>
      <c r="X74" s="1396"/>
      <c r="Y74" s="1396"/>
      <c r="Z74" s="1396"/>
    </row>
    <row r="75" spans="1:26" ht="14.25" customHeight="1" outlineLevel="1">
      <c r="A75" s="1433" t="s">
        <v>42</v>
      </c>
      <c r="B75" s="3808">
        <f>IF(AND(ISBLANK(B73),ISBLANK(B74)),"",B73+B74)</f>
        <v>0</v>
      </c>
      <c r="C75" s="4555" t="s">
        <v>64</v>
      </c>
      <c r="D75" s="4556"/>
      <c r="E75" s="1434">
        <f>Ergebnis!G36</f>
        <v>0</v>
      </c>
      <c r="F75" s="1435" t="e">
        <f>Ergebnis!H36</f>
        <v>#VALUE!</v>
      </c>
      <c r="G75" s="1396"/>
      <c r="H75" s="1396"/>
      <c r="I75" s="1396"/>
      <c r="J75" s="1396"/>
      <c r="K75" s="1396"/>
      <c r="L75" s="1396"/>
      <c r="M75" s="1396"/>
      <c r="N75" s="1396"/>
      <c r="O75" s="1396"/>
      <c r="P75" s="1396"/>
      <c r="Q75" s="1396"/>
      <c r="R75" s="1396"/>
      <c r="S75" s="1396"/>
      <c r="T75" s="1396"/>
      <c r="U75" s="1396"/>
      <c r="V75" s="1396"/>
      <c r="W75" s="1396"/>
      <c r="X75" s="1396"/>
      <c r="Y75" s="1396"/>
      <c r="Z75" s="1396"/>
    </row>
    <row r="76" spans="1:26" ht="14.25" customHeight="1" outlineLevel="1">
      <c r="A76" s="1436" t="s">
        <v>1008</v>
      </c>
      <c r="B76" s="3798">
        <f>Ergebnis!G19+Ergebnis!G20</f>
        <v>0</v>
      </c>
      <c r="C76" s="4559" t="s">
        <v>65</v>
      </c>
      <c r="D76" s="4560"/>
      <c r="E76" s="1431" t="e">
        <f>Ergebnis!G37</f>
        <v>#VALUE!</v>
      </c>
      <c r="F76" s="1432">
        <f>Ergebnis!H37</f>
        <v>0</v>
      </c>
      <c r="G76" s="1396"/>
      <c r="H76" s="1396"/>
      <c r="I76" s="1396"/>
      <c r="J76" s="1396"/>
      <c r="K76" s="1396"/>
      <c r="L76" s="1396"/>
      <c r="M76" s="1396"/>
      <c r="N76" s="1396"/>
      <c r="O76" s="1396"/>
      <c r="P76" s="1396"/>
      <c r="Q76" s="1396"/>
      <c r="R76" s="1396"/>
      <c r="S76" s="1396"/>
      <c r="T76" s="1396"/>
      <c r="U76" s="1396"/>
      <c r="V76" s="1396"/>
      <c r="W76" s="1396"/>
      <c r="X76" s="1396"/>
      <c r="Y76" s="1396"/>
      <c r="Z76" s="1396"/>
    </row>
    <row r="77" spans="1:26" ht="14.25" customHeight="1" outlineLevel="1">
      <c r="A77" s="1437" t="s">
        <v>44</v>
      </c>
      <c r="B77" s="3799" t="e">
        <f>ROUND(B76/B75,0)</f>
        <v>#DIV/0!</v>
      </c>
      <c r="C77" s="4559" t="s">
        <v>66</v>
      </c>
      <c r="D77" s="4560"/>
      <c r="E77" s="1438" t="e">
        <f>Ergebnis!G38+Ergebnis!G40+Ergebnis!G41</f>
        <v>#VALUE!</v>
      </c>
      <c r="F77" s="1439" t="e">
        <f>Ergebnis!H38+Ergebnis!H40+Ergebnis!H41</f>
        <v>#VALUE!</v>
      </c>
      <c r="G77" s="1396"/>
      <c r="H77" s="1396"/>
      <c r="I77" s="1396"/>
      <c r="J77" s="1396"/>
      <c r="K77" s="1396"/>
      <c r="L77" s="1396"/>
      <c r="M77" s="1396"/>
      <c r="N77" s="1396"/>
      <c r="O77" s="1396"/>
      <c r="P77" s="1396"/>
      <c r="Q77" s="1396"/>
      <c r="R77" s="1396"/>
      <c r="S77" s="1396"/>
      <c r="T77" s="1396"/>
      <c r="U77" s="1396"/>
      <c r="V77" s="1396"/>
      <c r="W77" s="1396"/>
      <c r="X77" s="1396"/>
      <c r="Y77" s="1396"/>
      <c r="Z77" s="1396"/>
    </row>
    <row r="78" spans="1:26" outlineLevel="1">
      <c r="A78" s="1440" t="str">
        <f>"Pforte/Telefon                              (ø PK: "&amp;FIXED(Ergebnis!F21,0)&amp;"€)"</f>
        <v>Pforte/Telefon                              (ø PK: 0€)</v>
      </c>
      <c r="B78" s="3800">
        <f>Ergebnis!E21</f>
        <v>0</v>
      </c>
      <c r="C78" s="4555" t="s">
        <v>67</v>
      </c>
      <c r="D78" s="4556"/>
      <c r="E78" s="1434">
        <f>Ergebnis!G40</f>
        <v>0</v>
      </c>
      <c r="F78" s="1435" t="e">
        <f>Ergebnis!H40</f>
        <v>#VALUE!</v>
      </c>
      <c r="G78" s="1396"/>
      <c r="H78" s="1396"/>
      <c r="I78" s="1396"/>
      <c r="J78" s="1396"/>
      <c r="K78" s="1396"/>
      <c r="L78" s="1396"/>
      <c r="M78" s="1396"/>
      <c r="N78" s="1396"/>
      <c r="O78" s="1396"/>
      <c r="P78" s="1396"/>
      <c r="Q78" s="1396"/>
      <c r="R78" s="1396"/>
      <c r="S78" s="1396"/>
      <c r="T78" s="1396"/>
      <c r="U78" s="1396"/>
      <c r="V78" s="1396"/>
      <c r="W78" s="1396"/>
      <c r="X78" s="1396"/>
      <c r="Y78" s="1396"/>
      <c r="Z78" s="1396"/>
    </row>
    <row r="79" spans="1:26" ht="14.25" customHeight="1" outlineLevel="1">
      <c r="A79" s="1440" t="str">
        <f>"Hausmeister                                (ø PK: "&amp;FIXED(Ergebnis!F22,0)&amp;"€)"</f>
        <v>Hausmeister                                (ø PK: 0€)</v>
      </c>
      <c r="B79" s="3807">
        <f>Ergebnis!E22</f>
        <v>0</v>
      </c>
      <c r="C79" s="4555" t="s">
        <v>68</v>
      </c>
      <c r="D79" s="4556"/>
      <c r="E79" s="1434">
        <f>Ergebnis!G41</f>
        <v>0</v>
      </c>
      <c r="F79" s="1435" t="e">
        <f>Ergebnis!H41</f>
        <v>#VALUE!</v>
      </c>
      <c r="G79" s="1396"/>
      <c r="H79" s="1396"/>
      <c r="I79" s="1396"/>
      <c r="J79" s="1396"/>
      <c r="K79" s="1396"/>
      <c r="L79" s="1396"/>
      <c r="M79" s="1396"/>
      <c r="N79" s="1396"/>
      <c r="O79" s="1396"/>
      <c r="P79" s="1396"/>
      <c r="Q79" s="1396"/>
      <c r="R79" s="1396"/>
      <c r="S79" s="1396"/>
      <c r="T79" s="1396"/>
      <c r="U79" s="1396"/>
      <c r="V79" s="1396"/>
      <c r="W79" s="1396"/>
      <c r="X79" s="1396"/>
      <c r="Y79" s="1396"/>
      <c r="Z79" s="1396"/>
    </row>
    <row r="80" spans="1:26" ht="14.25" customHeight="1" outlineLevel="1">
      <c r="A80" s="1436" t="s">
        <v>1006</v>
      </c>
      <c r="B80" s="3808">
        <f>IF(AND(ISBLANK(B78),ISBLANK(B79)),"",B78+B79)</f>
        <v>0</v>
      </c>
      <c r="C80" s="4557" t="s">
        <v>252</v>
      </c>
      <c r="D80" s="4558"/>
      <c r="E80" s="1431" t="e">
        <f>Ergebnis!G39</f>
        <v>#VALUE!</v>
      </c>
      <c r="F80" s="1432">
        <f>Ergebnis!H39</f>
        <v>0</v>
      </c>
      <c r="G80" s="1396"/>
      <c r="H80" s="1396"/>
      <c r="I80" s="1396"/>
      <c r="J80" s="1396"/>
      <c r="K80" s="1396"/>
      <c r="L80" s="1396"/>
      <c r="M80" s="1396"/>
      <c r="N80" s="1396"/>
      <c r="O80" s="1396"/>
      <c r="P80" s="1396"/>
      <c r="Q80" s="1396"/>
      <c r="R80" s="1396"/>
      <c r="S80" s="1396"/>
      <c r="T80" s="1396"/>
      <c r="U80" s="1396"/>
      <c r="V80" s="1396"/>
      <c r="W80" s="1396"/>
      <c r="X80" s="1396"/>
      <c r="Y80" s="1396"/>
      <c r="Z80" s="1396"/>
    </row>
    <row r="81" spans="1:26" ht="14.25" customHeight="1" outlineLevel="1">
      <c r="A81" s="1441" t="s">
        <v>48</v>
      </c>
      <c r="B81" s="3798">
        <f>Ergebnis!G21+Ergebnis!G22</f>
        <v>0</v>
      </c>
      <c r="C81" s="4557" t="s">
        <v>779</v>
      </c>
      <c r="D81" s="4558"/>
      <c r="E81" s="1442">
        <f>Ergebnis!G42</f>
        <v>0</v>
      </c>
      <c r="F81" s="1443" t="e">
        <f>Ergebnis!H42</f>
        <v>#VALUE!</v>
      </c>
      <c r="G81" s="1396"/>
      <c r="H81" s="1396"/>
      <c r="I81" s="1396"/>
      <c r="J81" s="1396"/>
      <c r="K81" s="1396"/>
      <c r="L81" s="1396"/>
      <c r="M81" s="1396"/>
      <c r="N81" s="1396"/>
      <c r="O81" s="1396"/>
      <c r="P81" s="1396"/>
      <c r="Q81" s="1396"/>
      <c r="R81" s="1396"/>
      <c r="S81" s="1396"/>
      <c r="T81" s="1396"/>
      <c r="U81" s="1396"/>
      <c r="V81" s="1396"/>
      <c r="W81" s="1396"/>
      <c r="X81" s="1396"/>
      <c r="Y81" s="1396"/>
      <c r="Z81" s="1396"/>
    </row>
    <row r="82" spans="1:26" ht="16.5" customHeight="1" outlineLevel="1" thickBot="1">
      <c r="A82" s="1444" t="s">
        <v>49</v>
      </c>
      <c r="B82" s="3809" t="e">
        <f>ROUND(B81/B80,0)</f>
        <v>#DIV/0!</v>
      </c>
      <c r="C82" s="4559" t="s">
        <v>70</v>
      </c>
      <c r="D82" s="4560"/>
      <c r="E82" s="1445" t="e">
        <f>Ergebnis!G43</f>
        <v>#VALUE!</v>
      </c>
      <c r="F82" s="1446">
        <f>Ergebnis!H43</f>
        <v>0</v>
      </c>
      <c r="G82" s="1396"/>
      <c r="H82" s="1396"/>
      <c r="I82" s="1396"/>
      <c r="J82" s="1396"/>
      <c r="K82" s="1396"/>
      <c r="L82" s="1396"/>
      <c r="M82" s="1396"/>
      <c r="N82" s="1396"/>
      <c r="O82" s="1396"/>
      <c r="P82" s="1396"/>
      <c r="Q82" s="1396"/>
      <c r="R82" s="1396"/>
      <c r="S82" s="1396"/>
      <c r="T82" s="1396"/>
      <c r="U82" s="1396"/>
      <c r="V82" s="1396"/>
      <c r="W82" s="1396"/>
      <c r="X82" s="1396"/>
      <c r="Y82" s="1396"/>
      <c r="Z82" s="1396"/>
    </row>
    <row r="83" spans="1:26" ht="15" customHeight="1" outlineLevel="1">
      <c r="A83" s="3794" t="str">
        <f>"PDL                   (ø PK: "&amp;FIXED(Ergebnis!F23,0)&amp;"€)"</f>
        <v>PDL                   (ø PK: 0€)</v>
      </c>
      <c r="B83" s="3810">
        <f>Ergebnis!E23</f>
        <v>0</v>
      </c>
      <c r="C83" s="4559" t="s">
        <v>266</v>
      </c>
      <c r="D83" s="4560"/>
      <c r="E83" s="1431" t="e">
        <f>Ergebnis!G44+Ergebnis!G45</f>
        <v>#VALUE!</v>
      </c>
      <c r="F83" s="1432" t="e">
        <f>Ergebnis!H44+Ergebnis!H45</f>
        <v>#VALUE!</v>
      </c>
      <c r="G83" s="1396"/>
      <c r="H83" s="1396"/>
      <c r="I83" s="1396"/>
      <c r="J83" s="1396"/>
      <c r="K83" s="1396"/>
      <c r="L83" s="1396"/>
      <c r="M83" s="1396"/>
      <c r="N83" s="1396"/>
      <c r="O83" s="1396"/>
      <c r="P83" s="1396"/>
      <c r="Q83" s="1396"/>
      <c r="R83" s="1396"/>
      <c r="S83" s="1396"/>
      <c r="T83" s="1396"/>
      <c r="U83" s="1396"/>
      <c r="V83" s="1396"/>
      <c r="W83" s="1396"/>
      <c r="X83" s="1396"/>
      <c r="Y83" s="1396"/>
      <c r="Z83" s="1396"/>
    </row>
    <row r="84" spans="1:26" ht="15" customHeight="1" outlineLevel="1">
      <c r="A84" s="3794" t="str">
        <f>"QMB                   (ø PK: "&amp;FIXED(Ergebnis!F24,0)&amp;"€)"</f>
        <v>QMB                   (ø PK: 0€)</v>
      </c>
      <c r="B84" s="3810">
        <f>Ergebnis!E24</f>
        <v>0</v>
      </c>
      <c r="C84" s="4555" t="e">
        <f>"davon "&amp;FIXED(Ergebnis!B45,2)&amp;" VK Pflegedienst FL/ZD"</f>
        <v>#DIV/0!</v>
      </c>
      <c r="D84" s="4556"/>
      <c r="E84" s="1434">
        <f>Ergebnis!G45</f>
        <v>0</v>
      </c>
      <c r="F84" s="1435" t="e">
        <f>Ergebnis!H45</f>
        <v>#VALUE!</v>
      </c>
      <c r="G84" s="1396"/>
      <c r="H84" s="1396"/>
      <c r="I84" s="1396"/>
      <c r="J84" s="1396"/>
      <c r="K84" s="1396"/>
      <c r="L84" s="1396"/>
      <c r="M84" s="1396"/>
      <c r="N84" s="1396"/>
      <c r="O84" s="1396"/>
      <c r="P84" s="1396"/>
      <c r="Q84" s="1396"/>
      <c r="R84" s="1396"/>
      <c r="S84" s="1396"/>
      <c r="T84" s="1396"/>
      <c r="U84" s="1396"/>
      <c r="V84" s="1396"/>
      <c r="W84" s="1396"/>
      <c r="X84" s="1396"/>
      <c r="Y84" s="1396"/>
      <c r="Z84" s="1396"/>
    </row>
    <row r="85" spans="1:26" outlineLevel="1">
      <c r="A85" s="1447" t="str">
        <f>"Pflege/Betreuung Fachkraft (QN4)                   (ø PK: "&amp;FIXED(Ergebnis!F25,0)&amp;"€)"</f>
        <v>Pflege/Betreuung Fachkraft (QN4)                   (ø PK: 0€)</v>
      </c>
      <c r="B85" s="3797">
        <f>Ergebnis!E25</f>
        <v>0</v>
      </c>
      <c r="C85" s="4559" t="s">
        <v>230</v>
      </c>
      <c r="D85" s="4560"/>
      <c r="E85" s="1431" t="e">
        <f>Ergebnis!G46+Ergebnis!G47</f>
        <v>#VALUE!</v>
      </c>
      <c r="F85" s="1432" t="e">
        <f>Ergebnis!H46+Ergebnis!H47</f>
        <v>#VALUE!</v>
      </c>
      <c r="G85" s="1396"/>
      <c r="H85" s="1396"/>
      <c r="I85" s="1396"/>
      <c r="J85" s="1396"/>
      <c r="K85" s="1396"/>
      <c r="L85" s="1396"/>
      <c r="M85" s="1396"/>
      <c r="N85" s="1396"/>
      <c r="O85" s="1396"/>
      <c r="P85" s="1396"/>
      <c r="Q85" s="1396"/>
      <c r="R85" s="1396"/>
      <c r="S85" s="1396"/>
      <c r="T85" s="1396"/>
      <c r="U85" s="1396"/>
      <c r="V85" s="1396"/>
      <c r="W85" s="1396"/>
      <c r="X85" s="1396"/>
      <c r="Y85" s="1396"/>
      <c r="Z85" s="1396"/>
    </row>
    <row r="86" spans="1:26" outlineLevel="1">
      <c r="A86" s="1440" t="str">
        <f>"Pflege/Betreuung Hilfskraft m. Ausb. (QN3)  (ø PK: "&amp;FIXED(Ergebnis!F26,0)&amp;"€)"</f>
        <v>Pflege/Betreuung Hilfskraft m. Ausb. (QN3)  (ø PK: 0€)</v>
      </c>
      <c r="B86" s="3807">
        <f>Ergebnis!E26</f>
        <v>0</v>
      </c>
      <c r="C86" s="4555" t="s">
        <v>785</v>
      </c>
      <c r="D86" s="4556"/>
      <c r="E86" s="1434">
        <f>Ergebnis!G47</f>
        <v>0</v>
      </c>
      <c r="F86" s="1435" t="e">
        <f>Ergebnis!H47</f>
        <v>#VALUE!</v>
      </c>
      <c r="G86" s="1396"/>
      <c r="H86" s="1396"/>
      <c r="I86" s="1396"/>
      <c r="J86" s="1396"/>
      <c r="K86" s="1396"/>
      <c r="L86" s="1396"/>
      <c r="M86" s="1396"/>
      <c r="N86" s="1396"/>
      <c r="O86" s="1396"/>
      <c r="P86" s="1396"/>
      <c r="Q86" s="1396"/>
      <c r="R86" s="1396"/>
      <c r="S86" s="1396"/>
      <c r="T86" s="1396"/>
      <c r="U86" s="1396"/>
      <c r="V86" s="1396"/>
      <c r="W86" s="1396"/>
      <c r="X86" s="1396"/>
      <c r="Y86" s="1396"/>
      <c r="Z86" s="1396"/>
    </row>
    <row r="87" spans="1:26" outlineLevel="1">
      <c r="A87" s="1440" t="str">
        <f>"Pflege/Betreuung o. Ausb. (QN 1 &amp; 2)     (ø PK: "&amp;FIXED(Ergebnis!F27,0)&amp;"€)"</f>
        <v>Pflege/Betreuung o. Ausb. (QN 1 &amp; 2)     (ø PK: 0€)</v>
      </c>
      <c r="B87" s="3807">
        <f>Ergebnis!E27</f>
        <v>0</v>
      </c>
      <c r="C87" s="4559" t="s">
        <v>786</v>
      </c>
      <c r="D87" s="4560"/>
      <c r="E87" s="1431" t="e">
        <f>Ergebnis!G48</f>
        <v>#VALUE!</v>
      </c>
      <c r="F87" s="1432">
        <f>Ergebnis!H48</f>
        <v>0</v>
      </c>
      <c r="G87" s="1396"/>
      <c r="H87" s="1396"/>
      <c r="I87" s="1396"/>
      <c r="J87" s="1396"/>
      <c r="K87" s="1396"/>
      <c r="L87" s="1396"/>
      <c r="M87" s="1396"/>
      <c r="N87" s="1396"/>
      <c r="O87" s="1396"/>
      <c r="P87" s="1396"/>
      <c r="Q87" s="1396"/>
      <c r="R87" s="1396"/>
      <c r="S87" s="1396"/>
      <c r="T87" s="1396"/>
      <c r="U87" s="1396"/>
      <c r="V87" s="1396"/>
      <c r="W87" s="1396"/>
      <c r="X87" s="1396"/>
      <c r="Y87" s="1396"/>
      <c r="Z87" s="1396"/>
    </row>
    <row r="88" spans="1:26" outlineLevel="1">
      <c r="A88" s="1433" t="s">
        <v>50</v>
      </c>
      <c r="B88" s="3811">
        <f>SUM(B83:B87)</f>
        <v>0</v>
      </c>
      <c r="C88" s="4570"/>
      <c r="D88" s="4571"/>
      <c r="E88" s="1449">
        <f>Ergebnis!G49</f>
        <v>0</v>
      </c>
      <c r="F88" s="1450">
        <f>Ergebnis!H49</f>
        <v>0</v>
      </c>
      <c r="G88" s="1396"/>
      <c r="H88" s="1396"/>
      <c r="I88" s="1396"/>
      <c r="J88" s="1396"/>
      <c r="K88" s="1396"/>
      <c r="L88" s="1396"/>
      <c r="M88" s="1396"/>
      <c r="N88" s="1396"/>
      <c r="O88" s="1396"/>
      <c r="P88" s="1396"/>
      <c r="Q88" s="1396"/>
      <c r="R88" s="1396"/>
      <c r="S88" s="1396"/>
      <c r="T88" s="1396"/>
      <c r="U88" s="1396"/>
      <c r="V88" s="1396"/>
      <c r="W88" s="1396"/>
      <c r="X88" s="1396"/>
      <c r="Y88" s="1396"/>
      <c r="Z88" s="1396"/>
    </row>
    <row r="89" spans="1:26" outlineLevel="1">
      <c r="A89" s="1441" t="s">
        <v>51</v>
      </c>
      <c r="B89" s="3812">
        <f>Ergebnis!G23+Ergebnis!G24+Ergebnis!G25+Ergebnis!G26+Ergebnis!G27</f>
        <v>0</v>
      </c>
      <c r="C89" s="4559" t="s">
        <v>74</v>
      </c>
      <c r="D89" s="4560"/>
      <c r="E89" s="1431" t="e">
        <f>Ergebnis!G50</f>
        <v>#VALUE!</v>
      </c>
      <c r="F89" s="1432">
        <f>Ergebnis!H50</f>
        <v>0</v>
      </c>
      <c r="G89" s="1396"/>
      <c r="H89" s="1396"/>
      <c r="I89" s="1396"/>
      <c r="J89" s="1396"/>
      <c r="K89" s="1396"/>
      <c r="L89" s="1396"/>
      <c r="M89" s="1396"/>
      <c r="N89" s="1396"/>
      <c r="O89" s="1396"/>
      <c r="P89" s="1396"/>
      <c r="Q89" s="1396"/>
      <c r="R89" s="1396"/>
      <c r="S89" s="1396"/>
      <c r="T89" s="1396"/>
      <c r="U89" s="1396"/>
      <c r="V89" s="1396"/>
      <c r="W89" s="1396"/>
      <c r="X89" s="1396"/>
      <c r="Y89" s="1396"/>
      <c r="Z89" s="1396"/>
    </row>
    <row r="90" spans="1:26" outlineLevel="1">
      <c r="A90" s="1448"/>
      <c r="B90" s="3799" t="e">
        <f>ROUND(B89/B88,2)</f>
        <v>#DIV/0!</v>
      </c>
      <c r="C90" s="4572" t="s">
        <v>231</v>
      </c>
      <c r="D90" s="4573"/>
      <c r="E90" s="1431" t="e">
        <f>Ergebnis!G51</f>
        <v>#VALUE!</v>
      </c>
      <c r="F90" s="1432">
        <f>Ergebnis!H51</f>
        <v>0</v>
      </c>
      <c r="G90" s="1396"/>
      <c r="H90" s="1396"/>
      <c r="I90" s="1396"/>
      <c r="J90" s="1396"/>
      <c r="K90" s="1396"/>
      <c r="L90" s="1396"/>
      <c r="M90" s="1396"/>
      <c r="N90" s="1396"/>
      <c r="O90" s="1396"/>
      <c r="P90" s="1396"/>
      <c r="Q90" s="1396"/>
      <c r="R90" s="1396"/>
      <c r="S90" s="1396"/>
      <c r="T90" s="1396"/>
      <c r="U90" s="1396"/>
      <c r="V90" s="1396"/>
      <c r="W90" s="1396"/>
      <c r="X90" s="1396"/>
      <c r="Y90" s="1396"/>
      <c r="Z90" s="1396"/>
    </row>
    <row r="91" spans="1:26" ht="15.75" outlineLevel="1" thickBot="1">
      <c r="A91" s="1447" t="s">
        <v>248</v>
      </c>
      <c r="B91" s="3800">
        <f>Ergebnis!E29</f>
        <v>0</v>
      </c>
      <c r="C91" s="4574" t="s">
        <v>232</v>
      </c>
      <c r="D91" s="4575"/>
      <c r="E91" s="1453" t="e">
        <f>Ergebnis!G52</f>
        <v>#VALUE!</v>
      </c>
      <c r="F91" s="1454">
        <f>Ergebnis!H52</f>
        <v>0</v>
      </c>
      <c r="G91" s="1396"/>
      <c r="H91" s="1396"/>
      <c r="I91" s="1396"/>
      <c r="J91" s="1396"/>
      <c r="K91" s="1396"/>
      <c r="L91" s="1396"/>
      <c r="M91" s="1396"/>
      <c r="N91" s="1396"/>
      <c r="O91" s="1396"/>
      <c r="P91" s="1396"/>
      <c r="Q91" s="1396"/>
      <c r="R91" s="1396"/>
      <c r="S91" s="1396"/>
      <c r="T91" s="1396"/>
      <c r="U91" s="1396"/>
      <c r="V91" s="1396"/>
      <c r="W91" s="1396"/>
      <c r="X91" s="1396"/>
      <c r="Y91" s="1396"/>
      <c r="Z91" s="1396"/>
    </row>
    <row r="92" spans="1:26" ht="16.5" outlineLevel="1" thickBot="1">
      <c r="A92" s="1451" t="str">
        <f>"ø PK: Küche "&amp;FIXED(Ergebnis!E36,0)&amp;"€; Gebäudereinigung "&amp;FIXED(Ergebnis!E40,0)&amp;"€; Wäscherei "&amp;FIXED(Ergebnis!E41,0)&amp;"€"</f>
        <v>ø PK: Küche 0€; Gebäudereinigung 0€; Wäscherei 0€</v>
      </c>
      <c r="B92" s="3807"/>
      <c r="C92" s="4576" t="s">
        <v>233</v>
      </c>
      <c r="D92" s="4577"/>
      <c r="E92" s="1456" t="e">
        <f>E74+E76+E77+E80+E81+E82+E83+E85+E87+E88+E89+E90+E91</f>
        <v>#VALUE!</v>
      </c>
      <c r="F92" s="2874" t="e">
        <f>F74+F76+F77+F80+F81+F82+F83+F85+F87+F88+F89+F90+F91</f>
        <v>#VALUE!</v>
      </c>
      <c r="G92" s="1396"/>
      <c r="H92" s="1396"/>
      <c r="I92" s="1396"/>
      <c r="J92" s="1396"/>
      <c r="K92" s="1396"/>
      <c r="L92" s="1396"/>
      <c r="M92" s="1396"/>
      <c r="N92" s="1396"/>
      <c r="O92" s="1396"/>
      <c r="P92" s="1396"/>
      <c r="Q92" s="1396"/>
      <c r="R92" s="1396"/>
      <c r="S92" s="1396"/>
      <c r="T92" s="1396"/>
      <c r="U92" s="1396"/>
      <c r="V92" s="1396"/>
      <c r="W92" s="1396"/>
      <c r="X92" s="1396"/>
      <c r="Y92" s="1396"/>
      <c r="Z92" s="1396"/>
    </row>
    <row r="93" spans="1:26" outlineLevel="1">
      <c r="A93" s="1452" t="s">
        <v>55</v>
      </c>
      <c r="B93" s="3808">
        <f>IF(AND(ISBLANK(B91),ISBLANK(B92)),"",B91+B92)</f>
        <v>0</v>
      </c>
      <c r="C93" s="3802"/>
      <c r="D93" s="1458"/>
      <c r="E93" s="1334"/>
      <c r="F93" s="1344"/>
      <c r="G93" s="1396"/>
      <c r="H93" s="1396"/>
      <c r="I93" s="1396"/>
      <c r="J93" s="1396"/>
      <c r="K93" s="1396"/>
      <c r="L93" s="1396"/>
      <c r="M93" s="1396"/>
      <c r="N93" s="1396"/>
      <c r="O93" s="1396"/>
      <c r="P93" s="1396"/>
      <c r="Q93" s="1396"/>
      <c r="R93" s="1396"/>
      <c r="S93" s="1396"/>
      <c r="T93" s="1396"/>
      <c r="U93" s="1396"/>
      <c r="V93" s="1396"/>
      <c r="W93" s="1396"/>
      <c r="X93" s="1396"/>
      <c r="Y93" s="1396"/>
      <c r="Z93" s="1396"/>
    </row>
    <row r="94" spans="1:26" outlineLevel="1">
      <c r="A94" s="1455" t="s">
        <v>56</v>
      </c>
      <c r="B94" s="3798">
        <f>Ergebnis!G29</f>
        <v>0</v>
      </c>
      <c r="C94" s="3802"/>
      <c r="D94" s="1458"/>
      <c r="E94" s="1334"/>
      <c r="F94" s="1344"/>
      <c r="G94" s="1396"/>
      <c r="H94" s="1396"/>
      <c r="I94" s="1396"/>
      <c r="J94" s="1396"/>
      <c r="K94" s="1396"/>
      <c r="L94" s="1396"/>
      <c r="M94" s="1396"/>
      <c r="N94" s="1396"/>
      <c r="O94" s="1396"/>
      <c r="P94" s="1396"/>
      <c r="Q94" s="1396"/>
      <c r="R94" s="1396"/>
      <c r="S94" s="1396"/>
      <c r="T94" s="1396"/>
      <c r="U94" s="1396"/>
      <c r="V94" s="1396"/>
      <c r="W94" s="1396"/>
      <c r="X94" s="1396"/>
      <c r="Y94" s="1396"/>
      <c r="Z94" s="1396"/>
    </row>
    <row r="95" spans="1:26" outlineLevel="1">
      <c r="A95" s="1457"/>
      <c r="B95" s="3799" t="e">
        <f>ROUND(B94/B93,0)</f>
        <v>#DIV/0!</v>
      </c>
      <c r="C95" s="3802"/>
      <c r="D95" s="1458"/>
      <c r="E95" s="1334"/>
      <c r="F95" s="1344"/>
      <c r="G95" s="1396"/>
      <c r="H95" s="1396"/>
      <c r="I95" s="1396"/>
      <c r="J95" s="1396"/>
      <c r="K95" s="1396"/>
      <c r="L95" s="1396"/>
      <c r="M95" s="1396"/>
      <c r="N95" s="1396"/>
      <c r="O95" s="1396"/>
      <c r="P95" s="1396"/>
      <c r="Q95" s="1396"/>
      <c r="R95" s="1396"/>
      <c r="S95" s="1396"/>
      <c r="T95" s="1396"/>
      <c r="U95" s="1396"/>
      <c r="V95" s="1396"/>
      <c r="W95" s="1396"/>
      <c r="X95" s="1396"/>
      <c r="Y95" s="1396"/>
      <c r="Z95" s="1396"/>
    </row>
    <row r="96" spans="1:26" ht="15.75" outlineLevel="1" thickBot="1">
      <c r="A96" s="4584" t="s">
        <v>1846</v>
      </c>
      <c r="B96" s="3800">
        <f>Ergebnis!E28</f>
        <v>0</v>
      </c>
      <c r="C96" s="3802"/>
      <c r="D96" s="1458"/>
      <c r="E96" s="1334"/>
      <c r="F96" s="1344"/>
      <c r="G96" s="1396"/>
      <c r="H96" s="1396"/>
      <c r="I96" s="1396"/>
      <c r="J96" s="1396"/>
      <c r="K96" s="1396"/>
      <c r="L96" s="1396"/>
      <c r="M96" s="1396"/>
      <c r="N96" s="1396"/>
      <c r="O96" s="1396"/>
      <c r="P96" s="1396"/>
      <c r="Q96" s="1396"/>
      <c r="R96" s="1396"/>
      <c r="S96" s="1396"/>
      <c r="T96" s="1396"/>
      <c r="U96" s="1396"/>
      <c r="V96" s="1396"/>
      <c r="W96" s="1396"/>
      <c r="X96" s="1396"/>
      <c r="Y96" s="1396"/>
      <c r="Z96" s="1396"/>
    </row>
    <row r="97" spans="1:26" ht="15.75" customHeight="1" outlineLevel="1" thickBot="1">
      <c r="A97" s="4585"/>
      <c r="B97" s="3798">
        <f>Ergebnis!G28</f>
        <v>0</v>
      </c>
      <c r="C97" s="4564" t="s">
        <v>234</v>
      </c>
      <c r="D97" s="4565"/>
      <c r="E97" s="4566" t="e">
        <f>B104+E92</f>
        <v>#VALUE!</v>
      </c>
      <c r="F97" s="4567"/>
      <c r="G97" s="1396"/>
      <c r="H97" s="1396"/>
      <c r="I97" s="1396"/>
      <c r="J97" s="1396"/>
      <c r="K97" s="1396"/>
      <c r="L97" s="1396"/>
      <c r="M97" s="1396"/>
      <c r="N97" s="1396"/>
      <c r="O97" s="1396"/>
      <c r="P97" s="1396"/>
      <c r="Q97" s="1396"/>
      <c r="R97" s="1396"/>
      <c r="S97" s="1396"/>
      <c r="T97" s="1396"/>
      <c r="U97" s="1396"/>
      <c r="V97" s="1396"/>
      <c r="W97" s="1396"/>
      <c r="X97" s="1396"/>
      <c r="Y97" s="1396"/>
      <c r="Z97" s="1396"/>
    </row>
    <row r="98" spans="1:26" outlineLevel="1">
      <c r="A98" s="4586"/>
      <c r="B98" s="3801" t="e">
        <f>ROUND(B97/B96,0)</f>
        <v>#DIV/0!</v>
      </c>
      <c r="C98" s="3803" t="e">
        <f>Ergebnis!B45</f>
        <v>#DIV/0!</v>
      </c>
      <c r="D98" s="1459" t="e">
        <f>C98*A90</f>
        <v>#DIV/0!</v>
      </c>
      <c r="E98" s="4568" t="e">
        <f>C98-D98</f>
        <v>#DIV/0!</v>
      </c>
      <c r="F98" s="4569"/>
      <c r="G98" s="1396"/>
      <c r="H98" s="1396"/>
      <c r="I98" s="1396"/>
      <c r="J98" s="1396"/>
      <c r="K98" s="1396"/>
      <c r="L98" s="1396"/>
      <c r="M98" s="1396"/>
      <c r="N98" s="1396"/>
      <c r="O98" s="1396"/>
      <c r="P98" s="1396"/>
      <c r="Q98" s="1396"/>
      <c r="R98" s="1396"/>
      <c r="S98" s="1396"/>
      <c r="T98" s="1396"/>
      <c r="U98" s="1396"/>
      <c r="V98" s="1396"/>
      <c r="W98" s="1396"/>
      <c r="X98" s="1396"/>
      <c r="Y98" s="1396"/>
      <c r="Z98" s="1396"/>
    </row>
    <row r="99" spans="1:26" ht="38.25" customHeight="1" outlineLevel="1">
      <c r="A99" s="4578" t="str">
        <f>'Copy &amp; Paste'!B97</f>
        <v>Sonstiges Personal wie z. B. Bundesfreiwilligendienst/Freiw. Soziales Jahr/Praktikanten</v>
      </c>
      <c r="B99" s="3800">
        <f>Ergebnis!E30</f>
        <v>0</v>
      </c>
      <c r="C99" s="4587"/>
      <c r="D99" s="4587"/>
      <c r="E99" s="4587"/>
      <c r="F99" s="4588"/>
      <c r="G99" s="1396"/>
      <c r="H99" s="1396"/>
      <c r="I99" s="1396"/>
      <c r="J99" s="1396"/>
      <c r="K99" s="1396"/>
      <c r="L99" s="1396"/>
      <c r="M99" s="1396"/>
      <c r="N99" s="1396"/>
      <c r="O99" s="1396"/>
      <c r="P99" s="1396"/>
      <c r="Q99" s="1396"/>
      <c r="R99" s="1396"/>
      <c r="S99" s="1396"/>
      <c r="T99" s="1396"/>
      <c r="U99" s="1396"/>
      <c r="V99" s="1396"/>
      <c r="W99" s="1396"/>
      <c r="X99" s="1396"/>
      <c r="Y99" s="1396"/>
      <c r="Z99" s="1396"/>
    </row>
    <row r="100" spans="1:26" outlineLevel="1">
      <c r="A100" s="4579"/>
      <c r="B100" s="3798">
        <f>Ergebnis!G30</f>
        <v>0</v>
      </c>
      <c r="C100" s="3804"/>
      <c r="D100" s="1461"/>
      <c r="E100" s="1462"/>
      <c r="F100" s="1463"/>
      <c r="G100" s="1396"/>
      <c r="H100" s="1396"/>
      <c r="I100" s="1396"/>
      <c r="J100" s="1396"/>
      <c r="K100" s="1396"/>
      <c r="L100" s="1396"/>
      <c r="M100" s="1396"/>
      <c r="N100" s="1396"/>
      <c r="O100" s="1396"/>
      <c r="P100" s="1396"/>
      <c r="Q100" s="1396"/>
      <c r="R100" s="1396"/>
      <c r="S100" s="1396"/>
      <c r="T100" s="1396"/>
      <c r="U100" s="1396"/>
      <c r="V100" s="1396"/>
      <c r="W100" s="1396"/>
      <c r="X100" s="1396"/>
      <c r="Y100" s="1396"/>
      <c r="Z100" s="1396"/>
    </row>
    <row r="101" spans="1:26" ht="15.75" outlineLevel="1" thickBot="1">
      <c r="A101" s="4580"/>
      <c r="B101" s="3799" t="e">
        <f>ROUND(B100/B99,0)</f>
        <v>#DIV/0!</v>
      </c>
      <c r="C101" s="3805"/>
      <c r="D101" s="1465"/>
      <c r="E101" s="1466"/>
      <c r="F101" s="1467"/>
      <c r="G101" s="1396"/>
      <c r="H101" s="1396"/>
      <c r="I101" s="1396"/>
      <c r="J101" s="1396"/>
      <c r="K101" s="1396"/>
      <c r="L101" s="1396"/>
      <c r="M101" s="1396"/>
      <c r="N101" s="1396"/>
      <c r="O101" s="1396"/>
      <c r="P101" s="1396"/>
      <c r="Q101" s="1396"/>
      <c r="R101" s="1396"/>
      <c r="S101" s="1396"/>
      <c r="T101" s="1396"/>
      <c r="U101" s="1396"/>
      <c r="V101" s="1396"/>
      <c r="W101" s="1396"/>
      <c r="X101" s="1396"/>
      <c r="Y101" s="1396"/>
      <c r="Z101" s="1396"/>
    </row>
    <row r="102" spans="1:26" ht="15.75" thickBot="1">
      <c r="A102" s="3813" t="s">
        <v>2348</v>
      </c>
      <c r="B102" s="3814">
        <f>Ergebnis!G31</f>
        <v>0</v>
      </c>
      <c r="C102" s="1416"/>
      <c r="D102" s="1416"/>
      <c r="E102" s="1334"/>
      <c r="F102" s="1468"/>
      <c r="G102" s="1396"/>
      <c r="H102" s="1396"/>
      <c r="I102" s="1396"/>
      <c r="J102" s="1396"/>
      <c r="K102" s="1396"/>
      <c r="L102" s="1396"/>
      <c r="M102" s="1396"/>
      <c r="N102" s="1396"/>
      <c r="O102" s="1396"/>
      <c r="P102" s="1396"/>
      <c r="Q102" s="1396"/>
      <c r="R102" s="1396"/>
      <c r="S102" s="1396"/>
      <c r="T102" s="1396"/>
      <c r="U102" s="1396"/>
      <c r="V102" s="1396"/>
      <c r="W102" s="1396"/>
      <c r="X102" s="1396"/>
      <c r="Y102" s="1396"/>
      <c r="Z102" s="1396"/>
    </row>
    <row r="103" spans="1:26" ht="16.5" thickBot="1">
      <c r="A103" s="1460" t="s">
        <v>57</v>
      </c>
      <c r="B103" s="3795">
        <f>B75+B80+B88+B93+B96+B99</f>
        <v>0</v>
      </c>
      <c r="C103" s="1352"/>
      <c r="D103" s="1352"/>
      <c r="E103" s="1352"/>
      <c r="F103" s="1469"/>
      <c r="G103" s="1396"/>
      <c r="H103" s="1396"/>
      <c r="I103" s="1396"/>
      <c r="J103" s="1396"/>
      <c r="K103" s="1396"/>
      <c r="L103" s="1396"/>
      <c r="M103" s="1396"/>
      <c r="N103" s="1396"/>
      <c r="O103" s="1396"/>
      <c r="P103" s="1396"/>
      <c r="Q103" s="1396"/>
      <c r="R103" s="1396"/>
      <c r="S103" s="1396"/>
      <c r="T103" s="1396"/>
      <c r="U103" s="1396"/>
      <c r="V103" s="1396"/>
      <c r="W103" s="1396"/>
      <c r="X103" s="1396"/>
      <c r="Y103" s="1396"/>
      <c r="Z103" s="1396"/>
    </row>
    <row r="104" spans="1:26" ht="15.75" thickBot="1">
      <c r="A104" s="1464" t="s">
        <v>58</v>
      </c>
      <c r="B104" s="3796">
        <f>B100+B97+B94+B89+B81+B76</f>
        <v>0</v>
      </c>
      <c r="C104" s="1416"/>
      <c r="D104" s="1416"/>
      <c r="E104" s="1416"/>
      <c r="F104" s="1416"/>
      <c r="G104" s="1396"/>
      <c r="H104" s="1396"/>
      <c r="I104" s="1396"/>
      <c r="J104" s="1396"/>
      <c r="K104" s="1396"/>
      <c r="L104" s="1396"/>
      <c r="M104" s="1396"/>
      <c r="N104" s="1396"/>
      <c r="O104" s="1396"/>
      <c r="P104" s="1396"/>
      <c r="Q104" s="1396"/>
      <c r="R104" s="1396"/>
      <c r="S104" s="1396"/>
      <c r="T104" s="1396"/>
      <c r="U104" s="1396"/>
      <c r="V104" s="1396"/>
      <c r="W104" s="1396"/>
      <c r="X104" s="1396"/>
      <c r="Y104" s="1396"/>
      <c r="Z104" s="1396"/>
    </row>
    <row r="105" spans="1:26" ht="15.75">
      <c r="A105" s="1470"/>
      <c r="B105" s="1471"/>
      <c r="C105" s="4554"/>
      <c r="D105" s="4554"/>
      <c r="E105" s="4554"/>
      <c r="F105" s="4554"/>
      <c r="G105" s="1396"/>
      <c r="H105" s="1396"/>
      <c r="I105" s="1396"/>
      <c r="J105" s="1396"/>
      <c r="K105" s="1396"/>
      <c r="L105" s="1396"/>
      <c r="M105" s="1396"/>
      <c r="N105" s="1396"/>
      <c r="O105" s="1396"/>
      <c r="P105" s="1396"/>
      <c r="Q105" s="1396"/>
      <c r="R105" s="1396"/>
      <c r="S105" s="1396"/>
      <c r="T105" s="1396"/>
      <c r="U105" s="1396"/>
      <c r="V105" s="1396"/>
      <c r="W105" s="1396"/>
      <c r="X105" s="1396"/>
      <c r="Y105" s="1396"/>
      <c r="Z105" s="1396"/>
    </row>
    <row r="106" spans="1:26" ht="15.75">
      <c r="A106" s="1472"/>
      <c r="B106" s="1471"/>
      <c r="C106" s="4554"/>
      <c r="D106" s="4554"/>
      <c r="E106" s="4554"/>
      <c r="F106" s="4554"/>
      <c r="G106" s="1396"/>
      <c r="H106" s="1396"/>
      <c r="I106" s="1396"/>
      <c r="J106" s="1396"/>
      <c r="K106" s="1396"/>
      <c r="L106" s="1396"/>
      <c r="M106" s="1396"/>
      <c r="N106" s="1396"/>
      <c r="O106" s="1396"/>
      <c r="P106" s="1396"/>
      <c r="Q106" s="1396"/>
      <c r="R106" s="1396"/>
      <c r="S106" s="1396"/>
      <c r="T106" s="1396"/>
      <c r="U106" s="1396"/>
      <c r="V106" s="1396"/>
      <c r="W106" s="1396"/>
      <c r="X106" s="1396"/>
      <c r="Y106" s="1396"/>
      <c r="Z106" s="1396"/>
    </row>
    <row r="107" spans="1:26" ht="15.75">
      <c r="A107" s="1416"/>
      <c r="B107" s="1471"/>
      <c r="C107" s="4554"/>
      <c r="D107" s="4554"/>
      <c r="E107" s="4554"/>
      <c r="F107" s="4554"/>
      <c r="G107" s="1396"/>
      <c r="H107" s="1396"/>
      <c r="I107" s="1396"/>
      <c r="J107" s="1396"/>
      <c r="K107" s="1396"/>
      <c r="L107" s="1396"/>
      <c r="M107" s="1396"/>
      <c r="N107" s="1396"/>
      <c r="O107" s="1396"/>
      <c r="P107" s="1396"/>
      <c r="Q107" s="1396"/>
      <c r="R107" s="1396"/>
      <c r="S107" s="1396"/>
      <c r="T107" s="1396"/>
      <c r="U107" s="1396"/>
      <c r="V107" s="1396"/>
      <c r="W107" s="1396"/>
      <c r="X107" s="1396"/>
      <c r="Y107" s="1396"/>
      <c r="Z107" s="1396"/>
    </row>
    <row r="108" spans="1:26" ht="15.75">
      <c r="A108" s="1416"/>
      <c r="B108" s="1471"/>
      <c r="C108" s="4554"/>
      <c r="D108" s="4554"/>
      <c r="E108" s="4554"/>
      <c r="F108" s="4554"/>
      <c r="G108" s="1396"/>
      <c r="H108" s="1396"/>
      <c r="I108" s="1396"/>
      <c r="J108" s="1396"/>
      <c r="K108" s="1396"/>
      <c r="L108" s="1396"/>
      <c r="M108" s="1396"/>
      <c r="N108" s="1396"/>
      <c r="O108" s="1396"/>
      <c r="P108" s="1396"/>
      <c r="Q108" s="1396"/>
      <c r="R108" s="1396"/>
      <c r="S108" s="1396"/>
      <c r="T108" s="1396"/>
      <c r="U108" s="1396"/>
      <c r="V108" s="1396"/>
      <c r="W108" s="1396"/>
      <c r="X108" s="1396"/>
      <c r="Y108" s="1396"/>
      <c r="Z108" s="1396"/>
    </row>
    <row r="109" spans="1:26" ht="15.75">
      <c r="A109" s="1416"/>
      <c r="B109" s="1471"/>
      <c r="C109" s="4554"/>
      <c r="D109" s="4554"/>
      <c r="E109" s="4554"/>
      <c r="F109" s="4554"/>
      <c r="G109" s="1396"/>
      <c r="H109" s="1396"/>
      <c r="I109" s="1396"/>
      <c r="J109" s="1396"/>
      <c r="K109" s="1396"/>
      <c r="L109" s="1396"/>
      <c r="M109" s="1396"/>
      <c r="N109" s="1396"/>
      <c r="O109" s="1396"/>
      <c r="P109" s="1396"/>
      <c r="Q109" s="1396"/>
      <c r="R109" s="1396"/>
      <c r="S109" s="1396"/>
      <c r="T109" s="1396"/>
      <c r="U109" s="1396"/>
      <c r="V109" s="1396"/>
      <c r="W109" s="1396"/>
      <c r="X109" s="1396"/>
      <c r="Y109" s="1396"/>
      <c r="Z109" s="1396"/>
    </row>
    <row r="110" spans="1:26" ht="15.75">
      <c r="A110" s="1416"/>
      <c r="B110" s="1471"/>
      <c r="C110" s="4554"/>
      <c r="D110" s="4554"/>
      <c r="E110" s="4554"/>
      <c r="F110" s="4554"/>
      <c r="G110" s="1396"/>
      <c r="H110" s="1396"/>
      <c r="I110" s="1396"/>
      <c r="J110" s="1396"/>
      <c r="K110" s="1396"/>
      <c r="L110" s="1396"/>
      <c r="M110" s="1396"/>
      <c r="N110" s="1396"/>
      <c r="O110" s="1396"/>
      <c r="P110" s="1396"/>
      <c r="Q110" s="1396"/>
      <c r="R110" s="1396"/>
      <c r="S110" s="1396"/>
      <c r="T110" s="1396"/>
      <c r="U110" s="1396"/>
      <c r="V110" s="1396"/>
      <c r="W110" s="1396"/>
      <c r="X110" s="1396"/>
      <c r="Y110" s="1396"/>
      <c r="Z110" s="1396"/>
    </row>
    <row r="111" spans="1:26" ht="15.75">
      <c r="A111" s="1416"/>
      <c r="B111" s="1471"/>
      <c r="C111" s="4554"/>
      <c r="D111" s="4554"/>
      <c r="E111" s="4554"/>
      <c r="F111" s="4554"/>
      <c r="G111" s="1396"/>
      <c r="H111" s="1396"/>
      <c r="I111" s="1396"/>
      <c r="J111" s="1396"/>
      <c r="K111" s="1396"/>
      <c r="L111" s="1396"/>
      <c r="M111" s="1396"/>
      <c r="N111" s="1396"/>
      <c r="O111" s="1396"/>
      <c r="P111" s="1396"/>
      <c r="Q111" s="1396"/>
      <c r="R111" s="1396"/>
      <c r="S111" s="1396"/>
      <c r="T111" s="1396"/>
      <c r="U111" s="1396"/>
      <c r="V111" s="1396"/>
      <c r="W111" s="1396"/>
      <c r="X111" s="1396"/>
      <c r="Y111" s="1396"/>
      <c r="Z111" s="1396"/>
    </row>
    <row r="112" spans="1:26" ht="15.75">
      <c r="A112" s="1416"/>
      <c r="B112" s="1471"/>
      <c r="C112" s="4554"/>
      <c r="D112" s="4554"/>
      <c r="E112" s="4554"/>
      <c r="F112" s="4554"/>
      <c r="G112" s="1396"/>
      <c r="H112" s="1396"/>
      <c r="I112" s="1396"/>
      <c r="J112" s="1396"/>
      <c r="K112" s="1396"/>
      <c r="L112" s="1396"/>
      <c r="M112" s="1396"/>
      <c r="N112" s="1396"/>
      <c r="O112" s="1396"/>
      <c r="P112" s="1396"/>
      <c r="Q112" s="1396"/>
      <c r="R112" s="1396"/>
      <c r="S112" s="1396"/>
      <c r="T112" s="1396"/>
      <c r="U112" s="1396"/>
      <c r="V112" s="1396"/>
      <c r="W112" s="1396"/>
      <c r="X112" s="1396"/>
      <c r="Y112" s="1396"/>
      <c r="Z112" s="1396"/>
    </row>
    <row r="113" spans="1:26">
      <c r="A113" s="1416"/>
      <c r="B113" s="1416"/>
      <c r="C113" s="1416"/>
      <c r="D113" s="1416"/>
      <c r="E113" s="1416"/>
      <c r="F113" s="1416"/>
      <c r="G113" s="1396"/>
      <c r="H113" s="1396"/>
      <c r="I113" s="1396"/>
      <c r="J113" s="1396"/>
      <c r="K113" s="1396"/>
      <c r="L113" s="1396"/>
      <c r="M113" s="1396"/>
      <c r="N113" s="1396"/>
      <c r="O113" s="1396"/>
      <c r="P113" s="1396"/>
      <c r="Q113" s="1396"/>
      <c r="R113" s="1396"/>
      <c r="S113" s="1396"/>
      <c r="T113" s="1396"/>
      <c r="U113" s="1396"/>
      <c r="V113" s="1396"/>
      <c r="W113" s="1396"/>
      <c r="X113" s="1396"/>
      <c r="Y113" s="1396"/>
      <c r="Z113" s="1396"/>
    </row>
    <row r="114" spans="1:26">
      <c r="A114" s="1416"/>
      <c r="B114" s="1416"/>
      <c r="C114" s="1416"/>
      <c r="D114" s="1416"/>
      <c r="E114" s="1416"/>
      <c r="F114" s="1416"/>
      <c r="G114" s="1396"/>
      <c r="H114" s="1396"/>
      <c r="I114" s="1396"/>
      <c r="J114" s="1396"/>
      <c r="K114" s="1396"/>
      <c r="L114" s="1396"/>
      <c r="M114" s="1396"/>
      <c r="N114" s="1396"/>
      <c r="O114" s="1396"/>
      <c r="P114" s="1396"/>
      <c r="Q114" s="1396"/>
      <c r="R114" s="1396"/>
      <c r="S114" s="1396"/>
      <c r="T114" s="1396"/>
      <c r="U114" s="1396"/>
      <c r="V114" s="1396"/>
      <c r="W114" s="1396"/>
      <c r="X114" s="1396"/>
      <c r="Y114" s="1396"/>
      <c r="Z114" s="1396"/>
    </row>
    <row r="115" spans="1:26">
      <c r="A115" s="1335"/>
      <c r="B115" s="1335"/>
      <c r="C115" s="1335"/>
      <c r="D115" s="1335"/>
      <c r="E115" s="1335"/>
      <c r="F115" s="1335"/>
      <c r="G115" s="1396"/>
      <c r="H115" s="1396"/>
      <c r="I115" s="1396"/>
      <c r="J115" s="1396"/>
      <c r="K115" s="1396"/>
      <c r="L115" s="1396"/>
      <c r="M115" s="1396"/>
      <c r="N115" s="1396"/>
      <c r="O115" s="1396"/>
      <c r="P115" s="1396"/>
      <c r="Q115" s="1396"/>
      <c r="R115" s="1396"/>
      <c r="S115" s="1396"/>
      <c r="T115" s="1396"/>
      <c r="U115" s="1396"/>
      <c r="V115" s="1396"/>
      <c r="W115" s="1396"/>
      <c r="X115" s="1396"/>
      <c r="Y115" s="1396"/>
      <c r="Z115" s="1396"/>
    </row>
    <row r="116" spans="1:26">
      <c r="A116" s="1335"/>
      <c r="B116" s="1335"/>
      <c r="C116" s="1335"/>
      <c r="D116" s="1335"/>
      <c r="E116" s="1335"/>
      <c r="F116" s="1335"/>
      <c r="G116" s="1396"/>
      <c r="H116" s="1396"/>
      <c r="I116" s="1396"/>
      <c r="J116" s="1396"/>
      <c r="K116" s="1396"/>
      <c r="L116" s="1396"/>
      <c r="M116" s="1396"/>
      <c r="N116" s="1396"/>
      <c r="O116" s="1396"/>
      <c r="P116" s="1396"/>
      <c r="Q116" s="1396"/>
      <c r="R116" s="1396"/>
      <c r="S116" s="1396"/>
      <c r="T116" s="1396"/>
      <c r="U116" s="1396"/>
      <c r="V116" s="1396"/>
      <c r="W116" s="1396"/>
      <c r="X116" s="1396"/>
      <c r="Y116" s="1396"/>
      <c r="Z116" s="1396"/>
    </row>
    <row r="117" spans="1:26">
      <c r="A117" s="1335"/>
      <c r="B117" s="1335"/>
      <c r="C117" s="1335"/>
      <c r="D117" s="1335"/>
      <c r="E117" s="1335"/>
      <c r="F117" s="1335"/>
      <c r="G117" s="1396"/>
      <c r="H117" s="1396"/>
      <c r="I117" s="1396"/>
      <c r="J117" s="1396"/>
      <c r="K117" s="1396"/>
      <c r="L117" s="1396"/>
      <c r="M117" s="1396"/>
      <c r="N117" s="1396"/>
      <c r="O117" s="1396"/>
      <c r="P117" s="1396"/>
      <c r="Q117" s="1396"/>
      <c r="R117" s="1396"/>
      <c r="S117" s="1396"/>
      <c r="T117" s="1396"/>
      <c r="U117" s="1396"/>
      <c r="V117" s="1396"/>
      <c r="W117" s="1396"/>
      <c r="X117" s="1396"/>
      <c r="Y117" s="1396"/>
      <c r="Z117" s="1396"/>
    </row>
    <row r="118" spans="1:26">
      <c r="A118" s="1335"/>
      <c r="B118" s="1335"/>
      <c r="C118" s="1335"/>
      <c r="D118" s="1335"/>
      <c r="E118" s="1335"/>
      <c r="F118" s="1335"/>
      <c r="G118" s="1396"/>
      <c r="H118" s="1396"/>
      <c r="I118" s="1396"/>
      <c r="J118" s="1396"/>
      <c r="K118" s="1396"/>
      <c r="L118" s="1396"/>
      <c r="M118" s="1396"/>
      <c r="N118" s="1396"/>
      <c r="O118" s="1396"/>
      <c r="P118" s="1396"/>
      <c r="Q118" s="1396"/>
      <c r="R118" s="1396"/>
      <c r="S118" s="1396"/>
      <c r="T118" s="1396"/>
      <c r="U118" s="1396"/>
      <c r="V118" s="1396"/>
      <c r="W118" s="1396"/>
      <c r="X118" s="1396"/>
      <c r="Y118" s="1396"/>
      <c r="Z118" s="1396"/>
    </row>
    <row r="119" spans="1:26">
      <c r="A119" s="1335"/>
      <c r="B119" s="1335"/>
      <c r="C119" s="1335"/>
      <c r="D119" s="1335"/>
      <c r="E119" s="1335"/>
      <c r="F119" s="1335"/>
      <c r="G119" s="1396"/>
      <c r="H119" s="1396"/>
      <c r="I119" s="1396"/>
      <c r="J119" s="1396"/>
      <c r="K119" s="1396"/>
      <c r="L119" s="1396"/>
      <c r="M119" s="1396"/>
      <c r="N119" s="1396"/>
      <c r="O119" s="1396"/>
      <c r="P119" s="1396"/>
      <c r="Q119" s="1396"/>
      <c r="R119" s="1396"/>
      <c r="S119" s="1396"/>
      <c r="T119" s="1396"/>
      <c r="U119" s="1396"/>
      <c r="V119" s="1396"/>
      <c r="W119" s="1396"/>
      <c r="X119" s="1396"/>
      <c r="Y119" s="1396"/>
      <c r="Z119" s="1396"/>
    </row>
    <row r="120" spans="1:26">
      <c r="A120" s="1335"/>
      <c r="B120" s="1335"/>
      <c r="C120" s="1335"/>
      <c r="D120" s="1335"/>
      <c r="E120" s="1335"/>
      <c r="F120" s="1335"/>
      <c r="G120" s="1396"/>
      <c r="H120" s="1396"/>
      <c r="I120" s="1396"/>
      <c r="J120" s="1396"/>
      <c r="K120" s="1396"/>
      <c r="L120" s="1396"/>
      <c r="M120" s="1396"/>
      <c r="N120" s="1396"/>
      <c r="O120" s="1396"/>
      <c r="P120" s="1396"/>
      <c r="Q120" s="1396"/>
      <c r="R120" s="1396"/>
      <c r="S120" s="1396"/>
      <c r="T120" s="1396"/>
      <c r="U120" s="1396"/>
      <c r="V120" s="1396"/>
      <c r="W120" s="1396"/>
      <c r="X120" s="1396"/>
      <c r="Y120" s="1396"/>
      <c r="Z120" s="1396"/>
    </row>
    <row r="121" spans="1:26">
      <c r="A121" s="1335"/>
      <c r="B121" s="1335"/>
      <c r="C121" s="1335"/>
      <c r="D121" s="1335"/>
      <c r="E121" s="1335"/>
      <c r="F121" s="1335"/>
      <c r="G121" s="1396"/>
      <c r="H121" s="1396"/>
      <c r="I121" s="1396"/>
      <c r="J121" s="1396"/>
      <c r="K121" s="1396"/>
      <c r="L121" s="1396"/>
      <c r="M121" s="1396"/>
      <c r="N121" s="1396"/>
      <c r="O121" s="1396"/>
      <c r="P121" s="1396"/>
      <c r="Q121" s="1396"/>
      <c r="R121" s="1396"/>
      <c r="S121" s="1396"/>
      <c r="T121" s="1396"/>
      <c r="U121" s="1396"/>
      <c r="V121" s="1396"/>
      <c r="W121" s="1396"/>
      <c r="X121" s="1396"/>
      <c r="Y121" s="1396"/>
      <c r="Z121" s="1396"/>
    </row>
    <row r="122" spans="1:26">
      <c r="A122" s="1335"/>
      <c r="B122" s="1335"/>
      <c r="C122" s="1335"/>
      <c r="D122" s="1335"/>
      <c r="E122" s="1335"/>
      <c r="F122" s="1335"/>
      <c r="G122" s="1396"/>
      <c r="H122" s="1396"/>
      <c r="I122" s="1396"/>
      <c r="J122" s="1396"/>
      <c r="K122" s="1396"/>
      <c r="L122" s="1396"/>
      <c r="M122" s="1396"/>
      <c r="N122" s="1396"/>
      <c r="O122" s="1396"/>
      <c r="P122" s="1396"/>
      <c r="Q122" s="1396"/>
      <c r="R122" s="1396"/>
      <c r="S122" s="1396"/>
      <c r="T122" s="1396"/>
      <c r="U122" s="1396"/>
      <c r="V122" s="1396"/>
      <c r="W122" s="1396"/>
      <c r="X122" s="1396"/>
      <c r="Y122" s="1396"/>
      <c r="Z122" s="1396"/>
    </row>
    <row r="123" spans="1:26">
      <c r="A123" s="1335"/>
      <c r="B123" s="1335"/>
      <c r="C123" s="1335"/>
      <c r="D123" s="1335"/>
      <c r="E123" s="1335"/>
      <c r="F123" s="1335"/>
      <c r="G123" s="1396"/>
      <c r="H123" s="1396"/>
      <c r="I123" s="1396"/>
      <c r="J123" s="1396"/>
      <c r="K123" s="1396"/>
      <c r="L123" s="1396"/>
      <c r="M123" s="1396"/>
      <c r="N123" s="1396"/>
      <c r="O123" s="1396"/>
      <c r="P123" s="1396"/>
      <c r="Q123" s="1396"/>
      <c r="R123" s="1396"/>
      <c r="S123" s="1396"/>
      <c r="T123" s="1396"/>
      <c r="U123" s="1396"/>
      <c r="V123" s="1396"/>
      <c r="W123" s="1396"/>
      <c r="X123" s="1396"/>
      <c r="Y123" s="1396"/>
      <c r="Z123" s="1396"/>
    </row>
    <row r="124" spans="1:26">
      <c r="A124" s="1335"/>
      <c r="B124" s="1335"/>
      <c r="C124" s="1335"/>
      <c r="D124" s="1335"/>
      <c r="E124" s="1335"/>
      <c r="F124" s="1335"/>
      <c r="G124" s="1396"/>
      <c r="H124" s="1396"/>
      <c r="I124" s="1396"/>
      <c r="J124" s="1396"/>
      <c r="K124" s="1396"/>
      <c r="L124" s="1396"/>
      <c r="M124" s="1396"/>
      <c r="N124" s="1396"/>
      <c r="O124" s="1396"/>
      <c r="P124" s="1396"/>
      <c r="Q124" s="1396"/>
      <c r="R124" s="1396"/>
      <c r="S124" s="1396"/>
      <c r="T124" s="1396"/>
      <c r="U124" s="1396"/>
      <c r="V124" s="1396"/>
      <c r="W124" s="1396"/>
      <c r="X124" s="1396"/>
      <c r="Y124" s="1396"/>
      <c r="Z124" s="1396"/>
    </row>
    <row r="125" spans="1:26">
      <c r="A125" s="1335"/>
      <c r="B125" s="1335"/>
      <c r="C125" s="1335"/>
      <c r="D125" s="1335"/>
      <c r="E125" s="1335"/>
      <c r="F125" s="1335"/>
      <c r="G125" s="1396"/>
      <c r="H125" s="1396"/>
      <c r="I125" s="1396"/>
      <c r="J125" s="1396"/>
      <c r="K125" s="1396"/>
      <c r="L125" s="1396"/>
      <c r="M125" s="1396"/>
      <c r="N125" s="1396"/>
      <c r="O125" s="1396"/>
      <c r="P125" s="1396"/>
      <c r="Q125" s="1396"/>
      <c r="R125" s="1396"/>
      <c r="S125" s="1396"/>
      <c r="T125" s="1396"/>
      <c r="U125" s="1396"/>
      <c r="V125" s="1396"/>
      <c r="W125" s="1396"/>
      <c r="X125" s="1396"/>
      <c r="Y125" s="1396"/>
      <c r="Z125" s="1396"/>
    </row>
    <row r="126" spans="1:26">
      <c r="A126" s="1335"/>
      <c r="B126" s="1335"/>
      <c r="C126" s="1335"/>
      <c r="D126" s="1335"/>
      <c r="E126" s="1335"/>
      <c r="F126" s="1335"/>
      <c r="G126" s="1396"/>
      <c r="H126" s="1396"/>
      <c r="I126" s="1396"/>
      <c r="J126" s="1396"/>
      <c r="K126" s="1396"/>
      <c r="L126" s="1396"/>
      <c r="M126" s="1396"/>
      <c r="N126" s="1396"/>
      <c r="O126" s="1396"/>
      <c r="P126" s="1396"/>
      <c r="Q126" s="1396"/>
      <c r="R126" s="1396"/>
      <c r="S126" s="1396"/>
      <c r="T126" s="1396"/>
      <c r="U126" s="1396"/>
      <c r="V126" s="1396"/>
      <c r="W126" s="1396"/>
      <c r="X126" s="1396"/>
      <c r="Y126" s="1396"/>
      <c r="Z126" s="1396"/>
    </row>
    <row r="127" spans="1:26">
      <c r="A127" s="1335"/>
      <c r="B127" s="1335"/>
      <c r="C127" s="1335"/>
      <c r="D127" s="1335"/>
      <c r="E127" s="1335"/>
      <c r="F127" s="1335"/>
      <c r="G127" s="1396"/>
      <c r="H127" s="1396"/>
      <c r="I127" s="1396"/>
      <c r="J127" s="1396"/>
      <c r="K127" s="1396"/>
      <c r="L127" s="1396"/>
      <c r="M127" s="1396"/>
      <c r="N127" s="1396"/>
      <c r="O127" s="1396"/>
      <c r="P127" s="1396"/>
      <c r="Q127" s="1396"/>
      <c r="R127" s="1396"/>
      <c r="S127" s="1396"/>
      <c r="T127" s="1396"/>
      <c r="U127" s="1396"/>
      <c r="V127" s="1396"/>
      <c r="W127" s="1396"/>
      <c r="X127" s="1396"/>
      <c r="Y127" s="1396"/>
      <c r="Z127" s="1396"/>
    </row>
    <row r="128" spans="1:26">
      <c r="A128" s="1335"/>
      <c r="B128" s="1335"/>
      <c r="C128" s="1335"/>
      <c r="D128" s="1335"/>
      <c r="E128" s="1335"/>
      <c r="F128" s="1335"/>
      <c r="G128" s="1396"/>
      <c r="H128" s="1396"/>
      <c r="I128" s="1396"/>
      <c r="J128" s="1396"/>
      <c r="K128" s="1396"/>
      <c r="L128" s="1396"/>
      <c r="M128" s="1396"/>
      <c r="N128" s="1396"/>
      <c r="O128" s="1396"/>
      <c r="P128" s="1396"/>
      <c r="Q128" s="1396"/>
      <c r="R128" s="1396"/>
      <c r="S128" s="1396"/>
      <c r="T128" s="1396"/>
      <c r="U128" s="1396"/>
      <c r="V128" s="1396"/>
      <c r="W128" s="1396"/>
      <c r="X128" s="1396"/>
      <c r="Y128" s="1396"/>
      <c r="Z128" s="1396"/>
    </row>
    <row r="129" spans="1:26">
      <c r="A129" s="1335"/>
      <c r="B129" s="1335"/>
      <c r="C129" s="1335"/>
      <c r="D129" s="1335"/>
      <c r="E129" s="1335"/>
      <c r="F129" s="1335"/>
      <c r="G129" s="1396"/>
      <c r="H129" s="1396"/>
      <c r="I129" s="1396"/>
      <c r="J129" s="1396"/>
      <c r="K129" s="1396"/>
      <c r="L129" s="1396"/>
      <c r="M129" s="1396"/>
      <c r="N129" s="1396"/>
      <c r="O129" s="1396"/>
      <c r="P129" s="1396"/>
      <c r="Q129" s="1396"/>
      <c r="R129" s="1396"/>
      <c r="S129" s="1396"/>
      <c r="T129" s="1396"/>
      <c r="U129" s="1396"/>
      <c r="V129" s="1396"/>
      <c r="W129" s="1396"/>
      <c r="X129" s="1396"/>
      <c r="Y129" s="1396"/>
      <c r="Z129" s="1396"/>
    </row>
    <row r="130" spans="1:26">
      <c r="A130" s="1335"/>
      <c r="B130" s="1335"/>
      <c r="C130" s="1335"/>
      <c r="D130" s="1335"/>
      <c r="E130" s="1335"/>
      <c r="F130" s="1335"/>
      <c r="G130" s="1396"/>
      <c r="H130" s="1396"/>
      <c r="I130" s="1396"/>
      <c r="J130" s="1396"/>
      <c r="K130" s="1396"/>
      <c r="L130" s="1396"/>
      <c r="M130" s="1396"/>
      <c r="N130" s="1396"/>
      <c r="O130" s="1396"/>
      <c r="P130" s="1396"/>
      <c r="Q130" s="1396"/>
      <c r="R130" s="1396"/>
      <c r="S130" s="1396"/>
      <c r="T130" s="1396"/>
      <c r="U130" s="1396"/>
      <c r="V130" s="1396"/>
      <c r="W130" s="1396"/>
      <c r="X130" s="1396"/>
      <c r="Y130" s="1396"/>
      <c r="Z130" s="1396"/>
    </row>
    <row r="131" spans="1:26">
      <c r="A131" s="1335"/>
      <c r="B131" s="1335"/>
      <c r="C131" s="1335"/>
      <c r="D131" s="1335"/>
      <c r="E131" s="1335"/>
      <c r="F131" s="1335"/>
      <c r="G131" s="1396"/>
      <c r="H131" s="1396"/>
      <c r="I131" s="1396"/>
      <c r="J131" s="1396"/>
      <c r="K131" s="1396"/>
      <c r="L131" s="1396"/>
      <c r="M131" s="1396"/>
      <c r="N131" s="1396"/>
      <c r="O131" s="1396"/>
      <c r="P131" s="1396"/>
      <c r="Q131" s="1396"/>
      <c r="R131" s="1396"/>
      <c r="S131" s="1396"/>
      <c r="T131" s="1396"/>
      <c r="U131" s="1396"/>
      <c r="V131" s="1396"/>
      <c r="W131" s="1396"/>
      <c r="X131" s="1396"/>
      <c r="Y131" s="1396"/>
      <c r="Z131" s="1396"/>
    </row>
    <row r="132" spans="1:26">
      <c r="A132" s="1335"/>
      <c r="B132" s="1335"/>
      <c r="C132" s="1335"/>
      <c r="D132" s="1335"/>
      <c r="E132" s="1335"/>
      <c r="F132" s="1335"/>
      <c r="G132" s="1396"/>
      <c r="H132" s="1396"/>
      <c r="I132" s="1396"/>
      <c r="J132" s="1396"/>
      <c r="K132" s="1396"/>
      <c r="L132" s="1396"/>
      <c r="M132" s="1396"/>
      <c r="N132" s="1396"/>
      <c r="O132" s="1396"/>
      <c r="P132" s="1396"/>
      <c r="Q132" s="1396"/>
      <c r="R132" s="1396"/>
      <c r="S132" s="1396"/>
      <c r="T132" s="1396"/>
      <c r="U132" s="1396"/>
      <c r="V132" s="1396"/>
      <c r="W132" s="1396"/>
      <c r="X132" s="1396"/>
      <c r="Y132" s="1396"/>
      <c r="Z132" s="1396"/>
    </row>
    <row r="133" spans="1:26">
      <c r="A133" s="1335"/>
      <c r="B133" s="1335"/>
      <c r="C133" s="1335"/>
      <c r="D133" s="1335"/>
      <c r="E133" s="1335"/>
      <c r="F133" s="1335"/>
      <c r="G133" s="1396"/>
      <c r="H133" s="1396"/>
      <c r="I133" s="1396"/>
      <c r="J133" s="1396"/>
      <c r="K133" s="1396"/>
      <c r="L133" s="1396"/>
      <c r="M133" s="1396"/>
      <c r="N133" s="1396"/>
      <c r="O133" s="1396"/>
      <c r="P133" s="1396"/>
      <c r="Q133" s="1396"/>
      <c r="R133" s="1396"/>
      <c r="S133" s="1396"/>
      <c r="T133" s="1396"/>
      <c r="U133" s="1396"/>
      <c r="V133" s="1396"/>
      <c r="W133" s="1396"/>
      <c r="X133" s="1396"/>
      <c r="Y133" s="1396"/>
      <c r="Z133" s="1396"/>
    </row>
    <row r="134" spans="1:26">
      <c r="A134" s="1335"/>
      <c r="B134" s="1335"/>
      <c r="C134" s="1335"/>
      <c r="D134" s="1335"/>
      <c r="E134" s="1335"/>
      <c r="F134" s="1335"/>
      <c r="G134" s="1396"/>
      <c r="H134" s="1396"/>
      <c r="I134" s="1396"/>
      <c r="J134" s="1396"/>
      <c r="K134" s="1396"/>
      <c r="L134" s="1396"/>
      <c r="M134" s="1396"/>
      <c r="N134" s="1396"/>
      <c r="O134" s="1396"/>
      <c r="P134" s="1396"/>
      <c r="Q134" s="1396"/>
      <c r="R134" s="1396"/>
      <c r="S134" s="1396"/>
      <c r="T134" s="1396"/>
      <c r="U134" s="1396"/>
      <c r="V134" s="1396"/>
      <c r="W134" s="1396"/>
      <c r="X134" s="1396"/>
      <c r="Y134" s="1396"/>
      <c r="Z134" s="1396"/>
    </row>
    <row r="135" spans="1:26">
      <c r="A135" s="1335"/>
      <c r="B135" s="1335"/>
      <c r="C135" s="1335"/>
      <c r="D135" s="1335"/>
      <c r="E135" s="1335"/>
      <c r="F135" s="1335"/>
      <c r="G135" s="1396"/>
      <c r="H135" s="1396"/>
      <c r="I135" s="1396"/>
      <c r="J135" s="1396"/>
      <c r="K135" s="1396"/>
      <c r="L135" s="1396"/>
      <c r="M135" s="1396"/>
      <c r="N135" s="1396"/>
      <c r="O135" s="1396"/>
      <c r="P135" s="1396"/>
      <c r="Q135" s="1396"/>
      <c r="R135" s="1396"/>
      <c r="S135" s="1396"/>
      <c r="T135" s="1396"/>
      <c r="U135" s="1396"/>
      <c r="V135" s="1396"/>
      <c r="W135" s="1396"/>
      <c r="X135" s="1396"/>
      <c r="Y135" s="1396"/>
      <c r="Z135" s="1396"/>
    </row>
    <row r="136" spans="1:26">
      <c r="A136" s="1335"/>
      <c r="B136" s="1335"/>
      <c r="C136" s="1335"/>
      <c r="D136" s="1335"/>
      <c r="E136" s="1335"/>
      <c r="F136" s="1335"/>
      <c r="G136" s="1396"/>
      <c r="H136" s="1396"/>
      <c r="I136" s="1396"/>
      <c r="J136" s="1396"/>
      <c r="K136" s="1396"/>
      <c r="L136" s="1396"/>
      <c r="M136" s="1396"/>
      <c r="N136" s="1396"/>
      <c r="O136" s="1396"/>
      <c r="P136" s="1396"/>
      <c r="Q136" s="1396"/>
      <c r="R136" s="1396"/>
      <c r="S136" s="1396"/>
      <c r="T136" s="1396"/>
      <c r="U136" s="1396"/>
      <c r="V136" s="1396"/>
      <c r="W136" s="1396"/>
      <c r="X136" s="1396"/>
      <c r="Y136" s="1396"/>
      <c r="Z136" s="1396"/>
    </row>
    <row r="137" spans="1:26">
      <c r="A137" s="1335"/>
      <c r="B137" s="1335"/>
      <c r="C137" s="1335"/>
      <c r="D137" s="1335"/>
      <c r="E137" s="1335"/>
      <c r="F137" s="1335"/>
      <c r="G137" s="1396"/>
      <c r="H137" s="1396"/>
      <c r="I137" s="1396"/>
      <c r="J137" s="1396"/>
      <c r="K137" s="1396"/>
      <c r="L137" s="1396"/>
      <c r="M137" s="1396"/>
      <c r="N137" s="1396"/>
      <c r="O137" s="1396"/>
      <c r="P137" s="1396"/>
      <c r="Q137" s="1396"/>
      <c r="R137" s="1396"/>
      <c r="S137" s="1396"/>
      <c r="T137" s="1396"/>
      <c r="U137" s="1396"/>
      <c r="V137" s="1396"/>
      <c r="W137" s="1396"/>
      <c r="X137" s="1396"/>
      <c r="Y137" s="1396"/>
      <c r="Z137" s="1396"/>
    </row>
    <row r="138" spans="1:26">
      <c r="A138" s="1335"/>
      <c r="B138" s="1335"/>
      <c r="C138" s="1335"/>
      <c r="D138" s="1335"/>
      <c r="E138" s="1335"/>
      <c r="F138" s="1335"/>
      <c r="G138" s="1396"/>
      <c r="H138" s="1396"/>
      <c r="I138" s="1396"/>
      <c r="J138" s="1396"/>
      <c r="K138" s="1396"/>
      <c r="L138" s="1396"/>
      <c r="M138" s="1396"/>
      <c r="N138" s="1396"/>
      <c r="O138" s="1396"/>
      <c r="P138" s="1396"/>
      <c r="Q138" s="1396"/>
      <c r="R138" s="1396"/>
      <c r="S138" s="1396"/>
      <c r="T138" s="1396"/>
      <c r="U138" s="1396"/>
      <c r="V138" s="1396"/>
      <c r="W138" s="1396"/>
      <c r="X138" s="1396"/>
      <c r="Y138" s="1396"/>
      <c r="Z138" s="1396"/>
    </row>
    <row r="139" spans="1:26">
      <c r="A139" s="1335"/>
      <c r="B139" s="1335"/>
      <c r="C139" s="1335"/>
      <c r="D139" s="1335"/>
      <c r="E139" s="1335"/>
      <c r="F139" s="1335"/>
      <c r="G139" s="1396"/>
      <c r="H139" s="1396"/>
      <c r="I139" s="1396"/>
      <c r="J139" s="1396"/>
      <c r="K139" s="1396"/>
      <c r="L139" s="1396"/>
      <c r="M139" s="1396"/>
      <c r="N139" s="1396"/>
      <c r="O139" s="1396"/>
      <c r="P139" s="1396"/>
      <c r="Q139" s="1396"/>
      <c r="R139" s="1396"/>
      <c r="S139" s="1396"/>
      <c r="T139" s="1396"/>
      <c r="U139" s="1396"/>
      <c r="V139" s="1396"/>
      <c r="W139" s="1396"/>
      <c r="X139" s="1396"/>
      <c r="Y139" s="1396"/>
      <c r="Z139" s="1396"/>
    </row>
    <row r="140" spans="1:26">
      <c r="A140" s="1335"/>
      <c r="B140" s="1335"/>
      <c r="C140" s="1335"/>
      <c r="D140" s="1335"/>
      <c r="E140" s="1335"/>
      <c r="F140" s="1335"/>
      <c r="G140" s="1396"/>
      <c r="H140" s="1396"/>
      <c r="I140" s="1396"/>
      <c r="J140" s="1396"/>
      <c r="K140" s="1396"/>
      <c r="L140" s="1396"/>
      <c r="M140" s="1396"/>
      <c r="N140" s="1396"/>
      <c r="O140" s="1396"/>
      <c r="P140" s="1396"/>
      <c r="Q140" s="1396"/>
      <c r="R140" s="1396"/>
      <c r="S140" s="1396"/>
      <c r="T140" s="1396"/>
      <c r="U140" s="1396"/>
      <c r="V140" s="1396"/>
      <c r="W140" s="1396"/>
      <c r="X140" s="1396"/>
      <c r="Y140" s="1396"/>
      <c r="Z140" s="1396"/>
    </row>
    <row r="141" spans="1:26">
      <c r="A141" s="1335"/>
      <c r="B141" s="1335"/>
      <c r="C141" s="1335"/>
      <c r="D141" s="1335"/>
      <c r="E141" s="1335"/>
      <c r="F141" s="1335"/>
      <c r="G141" s="1396"/>
      <c r="H141" s="1396"/>
      <c r="I141" s="1396"/>
      <c r="J141" s="1396"/>
      <c r="K141" s="1396"/>
      <c r="L141" s="1396"/>
      <c r="M141" s="1396"/>
      <c r="N141" s="1396"/>
      <c r="O141" s="1396"/>
      <c r="P141" s="1396"/>
      <c r="Q141" s="1396"/>
      <c r="R141" s="1396"/>
      <c r="S141" s="1396"/>
      <c r="T141" s="1396"/>
      <c r="U141" s="1396"/>
      <c r="V141" s="1396"/>
      <c r="W141" s="1396"/>
      <c r="X141" s="1396"/>
      <c r="Y141" s="1396"/>
      <c r="Z141" s="1396"/>
    </row>
    <row r="142" spans="1:26">
      <c r="A142" s="1335"/>
      <c r="B142" s="1335"/>
      <c r="C142" s="1335"/>
      <c r="D142" s="1335"/>
      <c r="E142" s="1335"/>
      <c r="F142" s="1335"/>
      <c r="G142" s="1396"/>
      <c r="H142" s="1396"/>
      <c r="I142" s="1396"/>
      <c r="J142" s="1396"/>
      <c r="K142" s="1396"/>
      <c r="L142" s="1396"/>
      <c r="M142" s="1396"/>
      <c r="N142" s="1396"/>
      <c r="O142" s="1396"/>
      <c r="P142" s="1396"/>
      <c r="Q142" s="1396"/>
      <c r="R142" s="1396"/>
      <c r="S142" s="1396"/>
      <c r="T142" s="1396"/>
      <c r="U142" s="1396"/>
      <c r="V142" s="1396"/>
      <c r="W142" s="1396"/>
      <c r="X142" s="1396"/>
      <c r="Y142" s="1396"/>
      <c r="Z142" s="1396"/>
    </row>
  </sheetData>
  <mergeCells count="56">
    <mergeCell ref="A99:A101"/>
    <mergeCell ref="A66:F66"/>
    <mergeCell ref="A71:F71"/>
    <mergeCell ref="A72:B72"/>
    <mergeCell ref="C72:F72"/>
    <mergeCell ref="C74:D74"/>
    <mergeCell ref="C78:D78"/>
    <mergeCell ref="C79:D79"/>
    <mergeCell ref="C80:D80"/>
    <mergeCell ref="C87:D87"/>
    <mergeCell ref="A96:A98"/>
    <mergeCell ref="C99:F99"/>
    <mergeCell ref="A61:F61"/>
    <mergeCell ref="C97:D97"/>
    <mergeCell ref="C82:D82"/>
    <mergeCell ref="E97:F97"/>
    <mergeCell ref="E98:F98"/>
    <mergeCell ref="C88:D88"/>
    <mergeCell ref="C89:D89"/>
    <mergeCell ref="C90:D90"/>
    <mergeCell ref="C91:D91"/>
    <mergeCell ref="C92:D92"/>
    <mergeCell ref="C83:D83"/>
    <mergeCell ref="C84:D84"/>
    <mergeCell ref="C85:D85"/>
    <mergeCell ref="C86:D86"/>
    <mergeCell ref="C111:F111"/>
    <mergeCell ref="C112:F112"/>
    <mergeCell ref="B10:D10"/>
    <mergeCell ref="C105:F105"/>
    <mergeCell ref="C106:F106"/>
    <mergeCell ref="C75:D75"/>
    <mergeCell ref="C81:D81"/>
    <mergeCell ref="C107:F107"/>
    <mergeCell ref="C108:F108"/>
    <mergeCell ref="C109:F109"/>
    <mergeCell ref="C110:F110"/>
    <mergeCell ref="C76:D76"/>
    <mergeCell ref="C77:D77"/>
    <mergeCell ref="D56:F56"/>
    <mergeCell ref="D57:F57"/>
    <mergeCell ref="A47:F47"/>
    <mergeCell ref="B49:F49"/>
    <mergeCell ref="A1:F1"/>
    <mergeCell ref="A2:F2"/>
    <mergeCell ref="B3:D3"/>
    <mergeCell ref="A4:B4"/>
    <mergeCell ref="D4:F4"/>
    <mergeCell ref="A5:B5"/>
    <mergeCell ref="D5:F5"/>
    <mergeCell ref="A21:F21"/>
    <mergeCell ref="D36:E36"/>
    <mergeCell ref="D31:F31"/>
    <mergeCell ref="D32:F32"/>
    <mergeCell ref="B23:F23"/>
    <mergeCell ref="A39:F39"/>
  </mergeCells>
  <conditionalFormatting sqref="C99 E102:F102 D100:E101 A75:B82 A85:B95 B99:B101 B103:B104">
    <cfRule type="expression" dxfId="256" priority="42" stopIfTrue="1">
      <formula>$B$3="- Umrechnungsverfahren !!! -"</formula>
    </cfRule>
  </conditionalFormatting>
  <conditionalFormatting sqref="A23:B23 A13:F20 A22:F22 A21">
    <cfRule type="expression" dxfId="255" priority="40" stopIfTrue="1">
      <formula>$B$3="- Umrechnungssverfahren !!! -"</formula>
    </cfRule>
  </conditionalFormatting>
  <conditionalFormatting sqref="E102:F102 D100:E101 A60:A61 A62:F64 D65:F65 A65 D60:F60 A29:F30 A28 A33:F35 A31:D32 A24:F27 A23:B23 A1:F20 A22:F22 A21 C46 C98:F98 C97 A99:C99 A75:F82 C83:F93 A85:B95 B100 A103:F114">
    <cfRule type="containsErrors" dxfId="254" priority="44">
      <formula>ISERROR(A1)</formula>
    </cfRule>
  </conditionalFormatting>
  <conditionalFormatting sqref="F75:F97 C75:E96 A103:A104 C97 E97 C98:E98 A99">
    <cfRule type="expression" dxfId="253" priority="38" stopIfTrue="1">
      <formula>$B$3="- Umrechnungsverfahren !!! -"</formula>
    </cfRule>
  </conditionalFormatting>
  <conditionalFormatting sqref="E97:F97 B101 C94:F96">
    <cfRule type="containsErrors" dxfId="252" priority="37">
      <formula>ISERROR(B94)</formula>
    </cfRule>
  </conditionalFormatting>
  <conditionalFormatting sqref="A5:B5">
    <cfRule type="cellIs" dxfId="251" priority="36" operator="equal">
      <formula>0</formula>
    </cfRule>
  </conditionalFormatting>
  <conditionalFormatting sqref="C36:C38 C40 C43">
    <cfRule type="containsErrors" dxfId="250" priority="34">
      <formula>ISERROR(C36)</formula>
    </cfRule>
  </conditionalFormatting>
  <conditionalFormatting sqref="C63:D64">
    <cfRule type="cellIs" dxfId="249" priority="31" operator="equal">
      <formula>0</formula>
    </cfRule>
  </conditionalFormatting>
  <conditionalFormatting sqref="C7 B28:F28">
    <cfRule type="cellIs" dxfId="248" priority="30" operator="equal">
      <formula>"0,00 €"</formula>
    </cfRule>
  </conditionalFormatting>
  <conditionalFormatting sqref="C7">
    <cfRule type="cellIs" dxfId="247" priority="29" operator="equal">
      <formula>0</formula>
    </cfRule>
  </conditionalFormatting>
  <conditionalFormatting sqref="A50:F55">
    <cfRule type="containsErrors" dxfId="246" priority="28">
      <formula>ISERROR(A50)</formula>
    </cfRule>
  </conditionalFormatting>
  <conditionalFormatting sqref="B49">
    <cfRule type="expression" dxfId="245" priority="25" stopIfTrue="1">
      <formula>$B$3="- Umrechnungssverfahren !!! -"</formula>
    </cfRule>
  </conditionalFormatting>
  <conditionalFormatting sqref="B49">
    <cfRule type="containsErrors" dxfId="244" priority="26">
      <formula>ISERROR(B49)</formula>
    </cfRule>
  </conditionalFormatting>
  <conditionalFormatting sqref="A58:F59 A56:D57">
    <cfRule type="containsErrors" dxfId="243" priority="21">
      <formula>ISERROR(A56)</formula>
    </cfRule>
  </conditionalFormatting>
  <conditionalFormatting sqref="A66 A69:F70 A67:E68">
    <cfRule type="containsErrors" dxfId="242" priority="20">
      <formula>ISERROR(A66)</formula>
    </cfRule>
  </conditionalFormatting>
  <conditionalFormatting sqref="C68:D70">
    <cfRule type="cellIs" dxfId="241" priority="19" operator="equal">
      <formula>0</formula>
    </cfRule>
  </conditionalFormatting>
  <conditionalFormatting sqref="A71">
    <cfRule type="containsErrors" dxfId="240" priority="18">
      <formula>ISERROR(A71)</formula>
    </cfRule>
  </conditionalFormatting>
  <conditionalFormatting sqref="A72:F74">
    <cfRule type="expression" dxfId="239" priority="17" stopIfTrue="1">
      <formula>$B$3="- Umrechnungsverfahren !!! -"</formula>
    </cfRule>
  </conditionalFormatting>
  <conditionalFormatting sqref="A72:F74">
    <cfRule type="containsErrors" dxfId="238" priority="16">
      <formula>ISERROR(A72)</formula>
    </cfRule>
  </conditionalFormatting>
  <conditionalFormatting sqref="A96">
    <cfRule type="expression" dxfId="237" priority="15" stopIfTrue="1">
      <formula>$B$3="- Umrechnungsverfahren !!! -"</formula>
    </cfRule>
  </conditionalFormatting>
  <conditionalFormatting sqref="A96">
    <cfRule type="containsErrors" dxfId="236" priority="14">
      <formula>ISERROR(A96)</formula>
    </cfRule>
  </conditionalFormatting>
  <conditionalFormatting sqref="B96:B98">
    <cfRule type="expression" dxfId="235" priority="13" stopIfTrue="1">
      <formula>$B$3="- Umrechnungsverfahren !!! -"</formula>
    </cfRule>
  </conditionalFormatting>
  <conditionalFormatting sqref="B96:B98">
    <cfRule type="containsErrors" dxfId="234" priority="12">
      <formula>ISERROR(B96)</formula>
    </cfRule>
  </conditionalFormatting>
  <conditionalFormatting sqref="F67">
    <cfRule type="containsErrors" dxfId="233" priority="11">
      <formula>ISERROR(F67)</formula>
    </cfRule>
  </conditionalFormatting>
  <conditionalFormatting sqref="E68">
    <cfRule type="cellIs" dxfId="232" priority="10" operator="equal">
      <formula>0</formula>
    </cfRule>
  </conditionalFormatting>
  <conditionalFormatting sqref="A41:F42">
    <cfRule type="containsErrors" dxfId="231" priority="8">
      <formula>ISERROR(A41)</formula>
    </cfRule>
  </conditionalFormatting>
  <conditionalFormatting sqref="C44:C45">
    <cfRule type="containsErrors" dxfId="230" priority="7">
      <formula>ISERROR(C44)</formula>
    </cfRule>
  </conditionalFormatting>
  <conditionalFormatting sqref="A83:B83">
    <cfRule type="expression" dxfId="229" priority="5" stopIfTrue="1">
      <formula>$B$3="- Umrechnungsverfahren !!! -"</formula>
    </cfRule>
  </conditionalFormatting>
  <conditionalFormatting sqref="A83:B83">
    <cfRule type="containsErrors" dxfId="228" priority="6">
      <formula>ISERROR(A83)</formula>
    </cfRule>
  </conditionalFormatting>
  <conditionalFormatting sqref="A84:B84">
    <cfRule type="expression" dxfId="227" priority="3" stopIfTrue="1">
      <formula>$B$3="- Umrechnungsverfahren !!! -"</formula>
    </cfRule>
  </conditionalFormatting>
  <conditionalFormatting sqref="A84:B84">
    <cfRule type="containsErrors" dxfId="226" priority="4">
      <formula>ISERROR(A84)</formula>
    </cfRule>
  </conditionalFormatting>
  <conditionalFormatting sqref="B102">
    <cfRule type="expression" dxfId="225" priority="1" stopIfTrue="1">
      <formula>$B$3="- Umrechnungsverfahren !!! -"</formula>
    </cfRule>
  </conditionalFormatting>
  <conditionalFormatting sqref="B102">
    <cfRule type="containsErrors" dxfId="224" priority="2">
      <formula>ISERROR(B102)</formula>
    </cfRule>
  </conditionalFormatting>
  <printOptions horizontalCentered="1"/>
  <pageMargins left="0.35433070866141736" right="0.39370078740157483" top="0.70866141732283472" bottom="0.98425196850393704" header="0.51181102362204722" footer="0.51181102362204722"/>
  <pageSetup paperSize="9" scale="70" fitToHeight="2" orientation="portrait" cellComments="asDisplayed" r:id="rId1"/>
  <headerFooter alignWithMargins="0"/>
  <rowBreaks count="1" manualBreakCount="1">
    <brk id="60" max="5" man="1"/>
  </rowBreaks>
  <ignoredErrors>
    <ignoredError sqref="B17:B19 C26:F26 C27:D27"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24" id="{AD6ADAF9-BAA8-452F-B4CA-D6EFD3F6B7D2}">
            <xm:f>'Copy &amp; Paste'!$I$12&gt;0</xm:f>
            <x14:dxf>
              <font>
                <color theme="0"/>
              </font>
              <fill>
                <patternFill>
                  <bgColor theme="0"/>
                </patternFill>
              </fill>
            </x14:dxf>
          </x14:cfRule>
          <xm:sqref>B23:F23</xm:sqref>
        </x14:conditionalFormatting>
        <x14:conditionalFormatting xmlns:xm="http://schemas.microsoft.com/office/excel/2006/main">
          <x14:cfRule type="expression" priority="23" id="{DA99F106-C88E-4E9D-8305-321060A8C0E3}">
            <xm:f>ISBLANK('Copy &amp; Paste'!$I$12)</xm:f>
            <x14:dxf>
              <font>
                <color theme="0"/>
              </font>
            </x14:dxf>
          </x14:cfRule>
          <xm:sqref>A47:F48</xm:sqref>
        </x14:conditionalFormatting>
        <x14:conditionalFormatting xmlns:xm="http://schemas.microsoft.com/office/excel/2006/main">
          <x14:cfRule type="expression" priority="22" id="{221B32B6-0AD3-4905-93E1-21F0C054F8C0}">
            <xm:f>ISBLANK('Copy &amp; Paste'!$I$12)</xm:f>
            <x14:dxf>
              <font>
                <color theme="0"/>
              </font>
              <fill>
                <patternFill>
                  <bgColor theme="0"/>
                </patternFill>
              </fill>
            </x14:dxf>
          </x14:cfRule>
          <xm:sqref>B49:F49</xm:sqref>
        </x14:conditionalFormatting>
        <x14:conditionalFormatting xmlns:xm="http://schemas.microsoft.com/office/excel/2006/main">
          <x14:cfRule type="expression" priority="9" id="{73225D27-FD0F-44FD-BA13-9AA720CC24D1}">
            <xm:f>'Copy &amp; Paste'!$H$12=""</xm:f>
            <x14:dxf>
              <font>
                <color theme="0"/>
              </font>
            </x14:dxf>
          </x14:cfRule>
          <xm:sqref>F62:F63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tabColor theme="5" tint="0.59999389629810485"/>
  </sheetPr>
  <dimension ref="A1:Z100"/>
  <sheetViews>
    <sheetView zoomScale="80" zoomScaleNormal="80" workbookViewId="0">
      <selection activeCell="D11" sqref="D11"/>
    </sheetView>
  </sheetViews>
  <sheetFormatPr baseColWidth="10" defaultColWidth="11.42578125" defaultRowHeight="12.75"/>
  <cols>
    <col min="1" max="1" width="2.42578125" style="518" customWidth="1"/>
    <col min="2" max="2" width="42.85546875" style="518" customWidth="1"/>
    <col min="3" max="3" width="18.28515625" style="518" customWidth="1"/>
    <col min="4" max="4" width="18.85546875" style="518" customWidth="1"/>
    <col min="5" max="7" width="18.28515625" style="518" customWidth="1"/>
    <col min="8" max="16384" width="11.42578125" style="518"/>
  </cols>
  <sheetData>
    <row r="1" spans="1:26" ht="5.25" customHeight="1">
      <c r="A1" s="1473"/>
      <c r="B1" s="1473"/>
      <c r="C1" s="1473"/>
      <c r="D1" s="1473"/>
      <c r="E1" s="1473"/>
      <c r="F1" s="1473"/>
      <c r="G1" s="1473"/>
      <c r="H1" s="1473"/>
      <c r="I1" s="1473"/>
      <c r="J1" s="1473"/>
      <c r="K1" s="1473"/>
      <c r="L1" s="1473"/>
      <c r="M1" s="1473"/>
      <c r="N1" s="1473"/>
      <c r="O1" s="1473"/>
      <c r="P1" s="1473"/>
      <c r="Q1" s="1473"/>
      <c r="R1" s="1473"/>
      <c r="S1" s="1473"/>
      <c r="T1" s="1473"/>
      <c r="U1" s="1473"/>
      <c r="V1" s="1473"/>
      <c r="W1" s="1473"/>
      <c r="X1" s="1473"/>
      <c r="Y1" s="1473"/>
      <c r="Z1" s="1473"/>
    </row>
    <row r="2" spans="1:26" ht="15.75">
      <c r="A2" s="1473"/>
      <c r="B2" s="1474" t="s">
        <v>1274</v>
      </c>
      <c r="C2" s="1473"/>
      <c r="D2" s="1473"/>
      <c r="E2" s="1475" t="s">
        <v>120</v>
      </c>
      <c r="F2" s="1476"/>
      <c r="G2" s="1477" t="s">
        <v>1193</v>
      </c>
      <c r="H2" s="1473"/>
      <c r="I2" s="1473"/>
      <c r="J2" s="1473"/>
      <c r="K2" s="1473"/>
      <c r="L2" s="1473"/>
      <c r="M2" s="1473"/>
      <c r="N2" s="1473"/>
      <c r="O2" s="1473"/>
      <c r="P2" s="1473"/>
      <c r="Q2" s="1473"/>
      <c r="R2" s="1473"/>
      <c r="S2" s="1473"/>
      <c r="T2" s="1473"/>
      <c r="U2" s="1473"/>
      <c r="V2" s="1473"/>
      <c r="W2" s="1473"/>
      <c r="X2" s="1473"/>
      <c r="Y2" s="1473"/>
      <c r="Z2" s="1473"/>
    </row>
    <row r="3" spans="1:26" ht="5.25" customHeight="1">
      <c r="A3" s="1473"/>
      <c r="B3" s="1473"/>
      <c r="C3" s="1473"/>
      <c r="D3" s="1473"/>
      <c r="E3" s="1473"/>
      <c r="F3" s="1473"/>
      <c r="G3" s="1473"/>
      <c r="H3" s="1473"/>
      <c r="I3" s="1473"/>
      <c r="J3" s="1473"/>
      <c r="K3" s="1473"/>
      <c r="L3" s="1473"/>
      <c r="M3" s="1473"/>
      <c r="N3" s="1473"/>
      <c r="O3" s="1473"/>
      <c r="P3" s="1473"/>
      <c r="Q3" s="1473"/>
      <c r="R3" s="1473"/>
      <c r="S3" s="1473"/>
      <c r="T3" s="1473"/>
      <c r="U3" s="1473"/>
      <c r="V3" s="1473"/>
      <c r="W3" s="1473"/>
      <c r="X3" s="1473"/>
      <c r="Y3" s="1473"/>
      <c r="Z3" s="1473"/>
    </row>
    <row r="4" spans="1:26" ht="15.75">
      <c r="A4" s="1473"/>
      <c r="B4" s="1478" t="str">
        <f>IF('Copy &amp; Paste'!B5="","",'Copy &amp; Paste'!B5)</f>
        <v/>
      </c>
      <c r="C4" s="1479"/>
      <c r="D4" s="1480"/>
      <c r="E4" s="1481">
        <f>IK</f>
        <v>0</v>
      </c>
      <c r="F4" s="1482"/>
      <c r="G4" s="1483" t="s">
        <v>1147</v>
      </c>
      <c r="H4" s="1473"/>
      <c r="I4" s="1473"/>
      <c r="J4" s="1473"/>
      <c r="K4" s="1473"/>
      <c r="L4" s="1473"/>
      <c r="M4" s="1473"/>
      <c r="N4" s="1473"/>
      <c r="O4" s="1473"/>
      <c r="P4" s="1473"/>
      <c r="Q4" s="1473"/>
      <c r="R4" s="1473"/>
      <c r="S4" s="1473"/>
      <c r="T4" s="1473"/>
      <c r="U4" s="1473"/>
      <c r="V4" s="1473"/>
      <c r="W4" s="1473"/>
      <c r="X4" s="1473"/>
      <c r="Y4" s="1473"/>
      <c r="Z4" s="1473"/>
    </row>
    <row r="5" spans="1:26" ht="15.75">
      <c r="A5" s="1473"/>
      <c r="B5" s="1484" t="s">
        <v>1275</v>
      </c>
      <c r="C5" s="1485"/>
      <c r="D5" s="1486"/>
      <c r="E5" s="1473"/>
      <c r="F5" s="1487"/>
      <c r="G5" s="1483" t="s">
        <v>1192</v>
      </c>
      <c r="H5" s="1473"/>
      <c r="I5" s="1473"/>
      <c r="J5" s="1473"/>
      <c r="K5" s="1473"/>
      <c r="L5" s="1473"/>
      <c r="M5" s="1473"/>
      <c r="N5" s="1473"/>
      <c r="O5" s="1473"/>
      <c r="P5" s="1473"/>
      <c r="Q5" s="1473"/>
      <c r="R5" s="1473"/>
      <c r="S5" s="1473"/>
      <c r="T5" s="1473"/>
      <c r="U5" s="1473"/>
      <c r="V5" s="1473"/>
      <c r="W5" s="1473"/>
      <c r="X5" s="1473"/>
      <c r="Y5" s="1473"/>
      <c r="Z5" s="1473"/>
    </row>
    <row r="6" spans="1:26" ht="15.75">
      <c r="A6" s="1473"/>
      <c r="B6" s="1478" t="str">
        <f>IF('Copy &amp; Paste'!B7="","",'Copy &amp; Paste'!B7)</f>
        <v/>
      </c>
      <c r="C6" s="1479"/>
      <c r="D6" s="1480"/>
      <c r="E6" s="1473"/>
      <c r="F6" s="1488"/>
      <c r="G6" s="1483"/>
      <c r="H6" s="1473"/>
      <c r="I6" s="1473"/>
      <c r="J6" s="1473"/>
      <c r="K6" s="1473"/>
      <c r="L6" s="1473"/>
      <c r="M6" s="1473"/>
      <c r="N6" s="1473"/>
      <c r="O6" s="1473"/>
      <c r="P6" s="1473"/>
      <c r="Q6" s="1473"/>
      <c r="R6" s="1473"/>
      <c r="S6" s="1473"/>
      <c r="T6" s="1473"/>
      <c r="U6" s="1473"/>
      <c r="V6" s="1473"/>
      <c r="W6" s="1473"/>
      <c r="X6" s="1473"/>
      <c r="Y6" s="1473"/>
      <c r="Z6" s="1473"/>
    </row>
    <row r="7" spans="1:26" ht="15.75">
      <c r="A7" s="1473"/>
      <c r="B7" s="1489" t="str">
        <f>IF('Copy &amp; Paste'!B8="","",'Copy &amp; Paste'!B8)</f>
        <v/>
      </c>
      <c r="C7" s="1478" t="str">
        <f>IF('Copy &amp; Paste'!C8="","",'Copy &amp; Paste'!C8)</f>
        <v/>
      </c>
      <c r="D7" s="1480"/>
      <c r="E7" s="1473"/>
      <c r="F7" s="4590" t="s">
        <v>795</v>
      </c>
      <c r="G7" s="4590"/>
      <c r="H7" s="1473"/>
      <c r="I7" s="1473"/>
      <c r="J7" s="1473"/>
      <c r="K7" s="1473"/>
      <c r="L7" s="1473"/>
      <c r="M7" s="1473"/>
      <c r="N7" s="1473"/>
      <c r="O7" s="1473"/>
      <c r="P7" s="1473"/>
      <c r="Q7" s="1473"/>
      <c r="R7" s="1473"/>
      <c r="S7" s="1473"/>
      <c r="T7" s="1473"/>
      <c r="U7" s="1473"/>
      <c r="V7" s="1473"/>
      <c r="W7" s="1473"/>
      <c r="X7" s="1473"/>
      <c r="Y7" s="1473"/>
      <c r="Z7" s="1473"/>
    </row>
    <row r="8" spans="1:26" ht="6" customHeight="1">
      <c r="A8" s="1473"/>
      <c r="B8" s="1473"/>
      <c r="C8" s="1473"/>
      <c r="D8" s="1473"/>
      <c r="E8" s="1473"/>
      <c r="F8" s="1473"/>
      <c r="G8" s="1473"/>
      <c r="H8" s="1473"/>
      <c r="I8" s="1473"/>
      <c r="J8" s="1473"/>
      <c r="K8" s="1473"/>
      <c r="L8" s="1473"/>
      <c r="M8" s="1473"/>
      <c r="N8" s="1473"/>
      <c r="O8" s="1473"/>
      <c r="P8" s="1473"/>
      <c r="Q8" s="1473"/>
      <c r="R8" s="1473"/>
      <c r="S8" s="1473"/>
      <c r="T8" s="1473"/>
      <c r="U8" s="1473"/>
      <c r="V8" s="1473"/>
      <c r="W8" s="1473"/>
      <c r="X8" s="1473"/>
      <c r="Y8" s="1473"/>
      <c r="Z8" s="1473"/>
    </row>
    <row r="9" spans="1:26" ht="15.75">
      <c r="A9" s="1473"/>
      <c r="B9" s="1490" t="s">
        <v>14</v>
      </c>
      <c r="C9" s="1491"/>
      <c r="D9" s="1492" t="str">
        <f>IF('Copy &amp; Paste'!H11="","",'Copy &amp; Paste'!H11)</f>
        <v/>
      </c>
      <c r="E9" s="1473"/>
      <c r="F9" s="1493" t="s">
        <v>1030</v>
      </c>
      <c r="G9" s="1493" t="s">
        <v>21</v>
      </c>
      <c r="H9" s="1473"/>
      <c r="I9" s="1473"/>
      <c r="J9" s="1473"/>
      <c r="K9" s="1473"/>
      <c r="L9" s="1473"/>
      <c r="M9" s="1473"/>
      <c r="N9" s="1473"/>
      <c r="O9" s="1473"/>
      <c r="P9" s="1473"/>
      <c r="Q9" s="1473"/>
      <c r="R9" s="1473"/>
      <c r="S9" s="1473"/>
      <c r="T9" s="1473"/>
      <c r="U9" s="1473"/>
      <c r="V9" s="1473"/>
      <c r="W9" s="1473"/>
      <c r="X9" s="1473"/>
      <c r="Y9" s="1473"/>
      <c r="Z9" s="1473"/>
    </row>
    <row r="10" spans="1:26" ht="15.75">
      <c r="A10" s="1473"/>
      <c r="B10" s="1490" t="s">
        <v>1324</v>
      </c>
      <c r="C10" s="1491"/>
      <c r="D10" s="1492" t="str">
        <f>IF('Copy &amp; Paste'!H12="","",'Copy &amp; Paste'!H12)</f>
        <v/>
      </c>
      <c r="E10" s="1473"/>
      <c r="F10" s="1494">
        <f>'Copy &amp; Paste'!G21</f>
        <v>45717</v>
      </c>
      <c r="G10" s="1494">
        <f>'Copy &amp; Paste'!G22</f>
        <v>46081</v>
      </c>
      <c r="H10" s="1473"/>
      <c r="I10" s="1473"/>
      <c r="J10" s="1473"/>
      <c r="K10" s="1473"/>
      <c r="L10" s="1473"/>
      <c r="M10" s="1473"/>
      <c r="N10" s="1473"/>
      <c r="O10" s="1473"/>
      <c r="P10" s="1473"/>
      <c r="Q10" s="1473"/>
      <c r="R10" s="1473"/>
      <c r="S10" s="1473"/>
      <c r="T10" s="1473"/>
      <c r="U10" s="1473"/>
      <c r="V10" s="1473"/>
      <c r="W10" s="1473"/>
      <c r="X10" s="1473"/>
      <c r="Y10" s="1473"/>
      <c r="Z10" s="1473"/>
    </row>
    <row r="11" spans="1:26" ht="15.75">
      <c r="A11" s="1473"/>
      <c r="B11" s="1490" t="s">
        <v>1321</v>
      </c>
      <c r="C11" s="1491"/>
      <c r="D11" s="1492" t="str">
        <f>IF('Copy &amp; Paste'!I12="","",'Copy &amp; Paste'!I12)</f>
        <v/>
      </c>
      <c r="E11" s="1473"/>
      <c r="F11" s="1473"/>
      <c r="G11" s="1473"/>
      <c r="H11" s="1473"/>
      <c r="I11" s="1473"/>
      <c r="J11" s="1473"/>
      <c r="K11" s="1473"/>
      <c r="L11" s="1473"/>
      <c r="M11" s="1473"/>
      <c r="N11" s="1473"/>
      <c r="O11" s="1473"/>
      <c r="P11" s="1473"/>
      <c r="Q11" s="1473"/>
      <c r="R11" s="1473"/>
      <c r="S11" s="1473"/>
      <c r="T11" s="1473"/>
      <c r="U11" s="1473"/>
      <c r="V11" s="1473"/>
      <c r="W11" s="1473"/>
      <c r="X11" s="1473"/>
      <c r="Y11" s="1473"/>
      <c r="Z11" s="1473"/>
    </row>
    <row r="12" spans="1:26" ht="7.5" customHeight="1">
      <c r="A12" s="1473"/>
      <c r="B12" s="1473"/>
      <c r="C12" s="1473"/>
      <c r="E12" s="1473"/>
      <c r="F12" s="1473"/>
      <c r="G12" s="1473"/>
      <c r="H12" s="1473"/>
      <c r="I12" s="1473"/>
      <c r="J12" s="1473"/>
      <c r="K12" s="1473"/>
      <c r="L12" s="1473"/>
      <c r="M12" s="1473"/>
      <c r="N12" s="1473"/>
      <c r="O12" s="1473"/>
      <c r="P12" s="1473"/>
      <c r="Q12" s="1473"/>
      <c r="R12" s="1473"/>
      <c r="S12" s="1473"/>
      <c r="T12" s="1473"/>
      <c r="U12" s="1473"/>
      <c r="V12" s="1473"/>
      <c r="W12" s="1473"/>
      <c r="X12" s="1473"/>
      <c r="Y12" s="1473"/>
      <c r="Z12" s="1473"/>
    </row>
    <row r="13" spans="1:26" ht="15">
      <c r="A13" s="1473"/>
      <c r="B13" s="1495" t="s">
        <v>101</v>
      </c>
      <c r="C13" s="1496"/>
      <c r="D13" s="1496"/>
      <c r="E13" s="1496"/>
      <c r="F13" s="1496"/>
      <c r="G13" s="1496"/>
      <c r="H13" s="1496"/>
      <c r="I13" s="1473"/>
      <c r="J13" s="1473"/>
      <c r="K13" s="1473"/>
      <c r="L13" s="1473"/>
      <c r="M13" s="1473"/>
      <c r="N13" s="1473"/>
      <c r="O13" s="1473"/>
      <c r="P13" s="1473"/>
      <c r="Q13" s="1473"/>
      <c r="R13" s="1473"/>
      <c r="S13" s="1473"/>
      <c r="T13" s="1473"/>
      <c r="U13" s="1473"/>
      <c r="V13" s="1473"/>
      <c r="W13" s="1473"/>
      <c r="X13" s="1473"/>
      <c r="Y13" s="1473"/>
      <c r="Z13" s="1473"/>
    </row>
    <row r="14" spans="1:26">
      <c r="A14" s="1473"/>
      <c r="B14" s="1497" t="s">
        <v>1214</v>
      </c>
      <c r="C14" s="1498" t="s">
        <v>811</v>
      </c>
      <c r="D14" s="1499" t="s">
        <v>812</v>
      </c>
      <c r="E14" s="1499" t="s">
        <v>813</v>
      </c>
      <c r="F14" s="1499" t="s">
        <v>814</v>
      </c>
      <c r="G14" s="1499" t="s">
        <v>815</v>
      </c>
      <c r="H14" s="1500" t="s">
        <v>81</v>
      </c>
      <c r="I14" s="1473"/>
      <c r="J14" s="1473"/>
      <c r="K14" s="1473"/>
      <c r="L14" s="1473"/>
      <c r="M14" s="1473"/>
      <c r="N14" s="1473"/>
      <c r="O14" s="1473"/>
      <c r="P14" s="1473"/>
      <c r="Q14" s="1473"/>
      <c r="R14" s="1473"/>
      <c r="S14" s="1473"/>
      <c r="T14" s="1473"/>
      <c r="U14" s="1473"/>
      <c r="V14" s="1473"/>
      <c r="W14" s="1473"/>
      <c r="X14" s="1473"/>
      <c r="Y14" s="1473"/>
      <c r="Z14" s="1473"/>
    </row>
    <row r="15" spans="1:26">
      <c r="A15" s="1473"/>
      <c r="B15" s="1497" t="s">
        <v>888</v>
      </c>
      <c r="C15" s="1501" t="e">
        <f>C18/365</f>
        <v>#VALUE!</v>
      </c>
      <c r="D15" s="1501" t="e">
        <f t="shared" ref="D15:G15" si="0">D18/365</f>
        <v>#VALUE!</v>
      </c>
      <c r="E15" s="1501" t="e">
        <f t="shared" si="0"/>
        <v>#VALUE!</v>
      </c>
      <c r="F15" s="1501" t="e">
        <f t="shared" si="0"/>
        <v>#VALUE!</v>
      </c>
      <c r="G15" s="1501" t="e">
        <f t="shared" si="0"/>
        <v>#VALUE!</v>
      </c>
      <c r="H15" s="1502" t="e">
        <f>SUM(C15:G15)</f>
        <v>#VALUE!</v>
      </c>
      <c r="I15" s="1473"/>
      <c r="J15" s="1473"/>
      <c r="K15" s="1473"/>
      <c r="L15" s="1473"/>
      <c r="M15" s="1473"/>
      <c r="N15" s="1473"/>
      <c r="O15" s="1473"/>
      <c r="P15" s="1473"/>
      <c r="Q15" s="1473"/>
      <c r="R15" s="1473"/>
      <c r="S15" s="1473"/>
      <c r="T15" s="1473"/>
      <c r="U15" s="1473"/>
      <c r="V15" s="1473"/>
      <c r="W15" s="1473"/>
      <c r="X15" s="1473"/>
      <c r="Y15" s="1473"/>
      <c r="Z15" s="1473"/>
    </row>
    <row r="16" spans="1:26">
      <c r="A16" s="1473"/>
      <c r="B16" s="1497" t="s">
        <v>1276</v>
      </c>
      <c r="C16" s="1503" t="e">
        <f>$H$16*C19</f>
        <v>#VALUE!</v>
      </c>
      <c r="D16" s="1503" t="e">
        <f t="shared" ref="D16:G16" si="1">$H$16*D19</f>
        <v>#VALUE!</v>
      </c>
      <c r="E16" s="1503" t="e">
        <f t="shared" si="1"/>
        <v>#VALUE!</v>
      </c>
      <c r="F16" s="1503" t="e">
        <f t="shared" si="1"/>
        <v>#VALUE!</v>
      </c>
      <c r="G16" s="1503" t="e">
        <f t="shared" si="1"/>
        <v>#VALUE!</v>
      </c>
      <c r="H16" s="1504" t="e">
        <f>(D11)*365*C20</f>
        <v>#VALUE!</v>
      </c>
      <c r="I16" s="1505" t="e">
        <f>SUM(C16:G16)</f>
        <v>#VALUE!</v>
      </c>
      <c r="J16" s="1473"/>
      <c r="K16" s="1473"/>
      <c r="L16" s="1473"/>
      <c r="M16" s="1473"/>
      <c r="N16" s="1473"/>
      <c r="O16" s="1473"/>
      <c r="P16" s="1473"/>
      <c r="Q16" s="1473"/>
      <c r="R16" s="1473"/>
      <c r="S16" s="1473"/>
      <c r="T16" s="1473"/>
      <c r="U16" s="1473"/>
      <c r="V16" s="1473"/>
      <c r="W16" s="1473"/>
      <c r="X16" s="1473"/>
      <c r="Y16" s="1473"/>
      <c r="Z16" s="1473"/>
    </row>
    <row r="17" spans="1:26">
      <c r="A17" s="1473"/>
      <c r="B17" s="1497" t="s">
        <v>1277</v>
      </c>
      <c r="C17" s="1506">
        <v>1</v>
      </c>
      <c r="D17" s="1507">
        <v>1</v>
      </c>
      <c r="E17" s="1507">
        <v>1</v>
      </c>
      <c r="F17" s="1507">
        <v>1</v>
      </c>
      <c r="G17" s="1507">
        <v>1</v>
      </c>
      <c r="H17" s="1508"/>
      <c r="I17" s="1473"/>
      <c r="J17" s="1473"/>
      <c r="K17" s="1473"/>
      <c r="L17" s="1473"/>
      <c r="M17" s="1473"/>
      <c r="N17" s="1473"/>
      <c r="O17" s="1473"/>
      <c r="P17" s="1473"/>
      <c r="Q17" s="1473"/>
      <c r="R17" s="1473"/>
      <c r="S17" s="1473"/>
      <c r="T17" s="1473"/>
      <c r="U17" s="1473"/>
      <c r="V17" s="1473"/>
      <c r="W17" s="1473"/>
      <c r="X17" s="1473"/>
      <c r="Y17" s="1473"/>
      <c r="Z17" s="1473"/>
    </row>
    <row r="18" spans="1:26">
      <c r="A18" s="1473"/>
      <c r="B18" s="1497" t="s">
        <v>1271</v>
      </c>
      <c r="C18" s="1509" t="e">
        <f>C16*C17</f>
        <v>#VALUE!</v>
      </c>
      <c r="D18" s="1509" t="e">
        <f t="shared" ref="D18:G18" si="2">D16*D17</f>
        <v>#VALUE!</v>
      </c>
      <c r="E18" s="1509" t="e">
        <f t="shared" si="2"/>
        <v>#VALUE!</v>
      </c>
      <c r="F18" s="1509" t="e">
        <f t="shared" si="2"/>
        <v>#VALUE!</v>
      </c>
      <c r="G18" s="1509" t="e">
        <f t="shared" si="2"/>
        <v>#VALUE!</v>
      </c>
      <c r="H18" s="1510" t="e">
        <f>SUM(C18:G18)</f>
        <v>#VALUE!</v>
      </c>
      <c r="I18" s="1473"/>
      <c r="J18" s="1473"/>
      <c r="K18" s="1473"/>
      <c r="L18" s="1473"/>
      <c r="M18" s="1473"/>
      <c r="N18" s="1473"/>
      <c r="O18" s="1473"/>
      <c r="P18" s="1473"/>
      <c r="Q18" s="1473"/>
      <c r="R18" s="1473"/>
      <c r="S18" s="1473"/>
      <c r="T18" s="1473"/>
      <c r="U18" s="1473"/>
      <c r="V18" s="1473"/>
      <c r="W18" s="1473"/>
      <c r="X18" s="1473"/>
      <c r="Y18" s="1473"/>
      <c r="Z18" s="1473"/>
    </row>
    <row r="19" spans="1:26">
      <c r="A19" s="1473"/>
      <c r="B19" s="1497" t="s">
        <v>1278</v>
      </c>
      <c r="C19" s="1511" t="e">
        <f>IF(ISBLANK(Ergebnis!B9),Ergebnis!B8,Ergebnis!B9)</f>
        <v>#VALUE!</v>
      </c>
      <c r="D19" s="1511" t="e">
        <f>IF(ISBLANK(Ergebnis!C9),Ergebnis!C8,Ergebnis!C9)</f>
        <v>#VALUE!</v>
      </c>
      <c r="E19" s="1511" t="e">
        <f>IF(ISBLANK(Ergebnis!D9),Ergebnis!D8,Ergebnis!D9)</f>
        <v>#VALUE!</v>
      </c>
      <c r="F19" s="1511" t="e">
        <f>IF(ISBLANK(Ergebnis!E9),Ergebnis!E8,Ergebnis!E9)</f>
        <v>#VALUE!</v>
      </c>
      <c r="G19" s="1511" t="e">
        <f>IF(ISBLANK(Ergebnis!F9),Ergebnis!F8,Ergebnis!F9)</f>
        <v>#VALUE!</v>
      </c>
      <c r="H19" s="1512" t="e">
        <f>SUM(C19:G19)</f>
        <v>#VALUE!</v>
      </c>
      <c r="I19" s="1473"/>
      <c r="J19" s="1473"/>
      <c r="K19" s="1473"/>
      <c r="L19" s="1473"/>
      <c r="M19" s="1473"/>
      <c r="N19" s="1473"/>
      <c r="O19" s="1473"/>
      <c r="P19" s="1473"/>
      <c r="Q19" s="1473"/>
      <c r="R19" s="1473"/>
      <c r="S19" s="1473"/>
      <c r="T19" s="1473"/>
      <c r="U19" s="1473"/>
      <c r="V19" s="1473"/>
      <c r="W19" s="1473"/>
      <c r="X19" s="1473"/>
      <c r="Y19" s="1473"/>
      <c r="Z19" s="1473"/>
    </row>
    <row r="20" spans="1:26">
      <c r="A20" s="1473"/>
      <c r="B20" s="1497" t="s">
        <v>33</v>
      </c>
      <c r="C20" s="1513">
        <v>0.85</v>
      </c>
      <c r="D20" s="1473"/>
      <c r="E20" s="1473"/>
      <c r="F20" s="1473"/>
      <c r="G20" s="1473"/>
      <c r="H20" s="1473"/>
      <c r="I20" s="1473"/>
      <c r="J20" s="1473"/>
      <c r="K20" s="1473"/>
      <c r="L20" s="1473"/>
      <c r="M20" s="1473"/>
      <c r="N20" s="1473"/>
      <c r="O20" s="1473"/>
      <c r="P20" s="1473"/>
      <c r="Q20" s="1473"/>
      <c r="R20" s="1473"/>
      <c r="S20" s="1473"/>
      <c r="T20" s="1473"/>
      <c r="U20" s="1473"/>
      <c r="V20" s="1473"/>
      <c r="W20" s="1473"/>
      <c r="X20" s="1473"/>
      <c r="Y20" s="1473"/>
      <c r="Z20" s="1473"/>
    </row>
    <row r="21" spans="1:26" ht="5.25" customHeight="1">
      <c r="A21" s="1473"/>
      <c r="B21" s="1473"/>
      <c r="C21" s="1473"/>
      <c r="D21" s="1473"/>
      <c r="E21" s="1473"/>
      <c r="F21" s="1473"/>
      <c r="G21" s="1473"/>
      <c r="H21" s="1473"/>
      <c r="I21" s="1473"/>
      <c r="J21" s="1473"/>
      <c r="K21" s="1473"/>
      <c r="L21" s="1473"/>
      <c r="M21" s="1473"/>
      <c r="N21" s="1473"/>
      <c r="O21" s="1473"/>
      <c r="P21" s="1473"/>
      <c r="Q21" s="1473"/>
      <c r="R21" s="1473"/>
      <c r="S21" s="1473"/>
      <c r="T21" s="1473"/>
      <c r="U21" s="1473"/>
      <c r="V21" s="1473"/>
      <c r="W21" s="1473"/>
      <c r="X21" s="1473"/>
      <c r="Y21" s="1473"/>
      <c r="Z21" s="1473"/>
    </row>
    <row r="22" spans="1:26" ht="6.75" customHeight="1">
      <c r="A22" s="1473"/>
      <c r="B22" s="1473"/>
      <c r="C22" s="1473"/>
      <c r="D22" s="1473"/>
      <c r="E22" s="1473"/>
      <c r="F22" s="1473"/>
      <c r="G22" s="1473"/>
      <c r="H22" s="1473"/>
      <c r="I22" s="1473"/>
      <c r="J22" s="1473"/>
      <c r="K22" s="1473"/>
      <c r="L22" s="1473"/>
      <c r="M22" s="1473"/>
      <c r="N22" s="1473"/>
      <c r="O22" s="1473"/>
      <c r="P22" s="1473"/>
      <c r="Q22" s="1473"/>
      <c r="R22" s="1473"/>
      <c r="S22" s="1473"/>
      <c r="T22" s="1473"/>
      <c r="U22" s="1473"/>
      <c r="V22" s="1473"/>
      <c r="W22" s="1473"/>
      <c r="X22" s="1473"/>
      <c r="Y22" s="1473"/>
      <c r="Z22" s="1473"/>
    </row>
    <row r="23" spans="1:26" ht="15.75">
      <c r="A23" s="1473"/>
      <c r="B23" s="1514" t="s">
        <v>1279</v>
      </c>
      <c r="C23" s="1496"/>
      <c r="D23" s="1496"/>
      <c r="E23" s="1496"/>
      <c r="F23" s="1496"/>
      <c r="G23" s="1496"/>
      <c r="H23" s="1496"/>
      <c r="I23" s="1473"/>
      <c r="J23" s="1473"/>
      <c r="K23" s="1473"/>
      <c r="L23" s="1473"/>
      <c r="M23" s="1473"/>
      <c r="N23" s="1473"/>
      <c r="O23" s="1473"/>
      <c r="P23" s="1473"/>
      <c r="Q23" s="1473"/>
      <c r="R23" s="1473"/>
      <c r="S23" s="1473"/>
      <c r="T23" s="1473"/>
      <c r="U23" s="1473"/>
      <c r="V23" s="1473"/>
      <c r="W23" s="1473"/>
      <c r="X23" s="1473"/>
      <c r="Y23" s="1473"/>
      <c r="Z23" s="1473"/>
    </row>
    <row r="24" spans="1:26" ht="6.75" customHeight="1">
      <c r="A24" s="1473"/>
      <c r="B24" s="1474"/>
      <c r="C24" s="1473"/>
      <c r="D24" s="1473"/>
      <c r="E24" s="1473"/>
      <c r="F24" s="1473"/>
      <c r="G24" s="1473"/>
      <c r="H24" s="1473"/>
      <c r="I24" s="1473"/>
      <c r="J24" s="1473"/>
      <c r="K24" s="1473"/>
      <c r="L24" s="1473"/>
      <c r="M24" s="1473"/>
      <c r="N24" s="1473"/>
      <c r="O24" s="1473"/>
      <c r="P24" s="1473"/>
      <c r="Q24" s="1473"/>
      <c r="R24" s="1473"/>
      <c r="S24" s="1473"/>
      <c r="T24" s="1473"/>
      <c r="U24" s="1473"/>
      <c r="V24" s="1473"/>
      <c r="W24" s="1473"/>
      <c r="X24" s="1473"/>
      <c r="Y24" s="1473"/>
      <c r="Z24" s="1473"/>
    </row>
    <row r="25" spans="1:26" ht="15.75">
      <c r="A25" s="1473"/>
      <c r="B25" s="1514" t="s">
        <v>1280</v>
      </c>
      <c r="C25" s="1496"/>
      <c r="D25" s="1496"/>
      <c r="E25" s="1496"/>
      <c r="F25" s="1496"/>
      <c r="G25" s="1496"/>
      <c r="H25" s="1496"/>
      <c r="I25" s="1473"/>
      <c r="J25" s="1473"/>
      <c r="K25" s="1473"/>
      <c r="L25" s="1473"/>
      <c r="M25" s="1473"/>
      <c r="N25" s="1473"/>
      <c r="O25" s="1473"/>
      <c r="P25" s="1473"/>
      <c r="Q25" s="1473"/>
      <c r="R25" s="1473"/>
      <c r="S25" s="1473"/>
      <c r="T25" s="1473"/>
      <c r="U25" s="1473"/>
      <c r="V25" s="1473"/>
      <c r="W25" s="1473"/>
      <c r="X25" s="1473"/>
      <c r="Y25" s="1473"/>
      <c r="Z25" s="1473"/>
    </row>
    <row r="26" spans="1:26" ht="31.5" customHeight="1">
      <c r="A26" s="1473"/>
      <c r="B26" s="1496"/>
      <c r="C26" s="1497" t="s">
        <v>81</v>
      </c>
      <c r="D26" s="1497" t="s">
        <v>1281</v>
      </c>
      <c r="E26" s="1515" t="s">
        <v>1282</v>
      </c>
      <c r="F26" s="4591" t="s">
        <v>1520</v>
      </c>
      <c r="G26" s="4592" t="s">
        <v>1521</v>
      </c>
      <c r="H26" s="1473"/>
      <c r="I26" s="1473"/>
      <c r="J26" s="1473"/>
      <c r="K26" s="1473"/>
      <c r="L26" s="1473"/>
      <c r="M26" s="1473"/>
      <c r="N26" s="1473"/>
      <c r="O26" s="1473"/>
      <c r="P26" s="1473"/>
      <c r="Q26" s="1473"/>
      <c r="R26" s="1473"/>
      <c r="S26" s="1473"/>
      <c r="T26" s="1473"/>
      <c r="U26" s="1473"/>
      <c r="V26" s="1473"/>
      <c r="W26" s="1473"/>
      <c r="X26" s="1473"/>
      <c r="Y26" s="1473"/>
      <c r="Z26" s="1473"/>
    </row>
    <row r="27" spans="1:26" ht="12.75" customHeight="1">
      <c r="A27" s="1473"/>
      <c r="B27" s="1496" t="str">
        <f>IF(AND('Copy &amp; Paste'!I12&gt;0,'Copy &amp; Paste'!B14="ja"),"fiktives Erlösbudget vollstationär","Personalkostenbudget vollstationär")</f>
        <v>Personalkostenbudget vollstationär</v>
      </c>
      <c r="C27" s="1516">
        <f>D27+E27</f>
        <v>0</v>
      </c>
      <c r="D27" s="1516">
        <f>IF(AND('Copy &amp; Paste'!I12&gt;0,'Copy &amp; Paste'!B14="ja"),SUMPRODUCT(Pauschal!B19:B23,Pauschal!H19:H23),Ergebnis!I33)</f>
        <v>0</v>
      </c>
      <c r="E27" s="1516">
        <f>IF(AND('Copy &amp; Paste'!I12&gt;0,'Copy &amp; Paste'!B14="ja"),IF(ISBLANK(G29),Pauschal!B24*Pauschal!H24,G29*Pauschal!B24),Ergebnis!J33)</f>
        <v>0</v>
      </c>
      <c r="F27" s="4591"/>
      <c r="G27" s="4592"/>
      <c r="H27" s="1473"/>
      <c r="I27" s="1473"/>
      <c r="J27" s="1473"/>
      <c r="K27" s="1473"/>
      <c r="L27" s="1473"/>
      <c r="M27" s="1473"/>
      <c r="N27" s="1473"/>
      <c r="O27" s="1473"/>
      <c r="P27" s="1473"/>
      <c r="Q27" s="1473"/>
      <c r="R27" s="1473"/>
      <c r="S27" s="1473"/>
      <c r="T27" s="1473"/>
      <c r="U27" s="1473"/>
      <c r="V27" s="1473"/>
      <c r="W27" s="1473"/>
      <c r="X27" s="1473"/>
      <c r="Y27" s="1473"/>
      <c r="Z27" s="1473"/>
    </row>
    <row r="28" spans="1:26">
      <c r="A28" s="1473"/>
      <c r="B28" s="1496" t="s">
        <v>1283</v>
      </c>
      <c r="C28" s="1516" t="e">
        <f>(C27/$D$9*($D$11))</f>
        <v>#VALUE!</v>
      </c>
      <c r="D28" s="1516" t="e">
        <f>(D27/$D$9*($D$11))</f>
        <v>#VALUE!</v>
      </c>
      <c r="E28" s="1516" t="e">
        <f>(E27/$D$9*($D$11))</f>
        <v>#VALUE!</v>
      </c>
      <c r="F28" s="4591"/>
      <c r="G28" s="4592"/>
      <c r="H28" s="1473"/>
      <c r="I28" s="1473"/>
      <c r="J28" s="1473"/>
      <c r="K28" s="1473"/>
      <c r="L28" s="1473"/>
      <c r="M28" s="1473"/>
      <c r="N28" s="1473"/>
      <c r="O28" s="1473"/>
      <c r="P28" s="1473"/>
      <c r="Q28" s="1473"/>
      <c r="R28" s="1473"/>
      <c r="S28" s="1473"/>
      <c r="T28" s="1473"/>
      <c r="U28" s="1473"/>
      <c r="V28" s="1473"/>
      <c r="W28" s="1473"/>
      <c r="X28" s="1473"/>
      <c r="Y28" s="1473"/>
      <c r="Z28" s="1473"/>
    </row>
    <row r="29" spans="1:26">
      <c r="A29" s="1473"/>
      <c r="B29" s="1517" t="s">
        <v>1284</v>
      </c>
      <c r="C29" s="1518" t="e">
        <f>IF(AND('Copy &amp; Paste'!I12&gt;0,'Copy &amp; Paste'!B14="ja"),($D$11)*0.1*F29,($D$11)*0.1*Ergebnis!F25)</f>
        <v>#VALUE!</v>
      </c>
      <c r="D29" s="1518" t="e">
        <f>C29</f>
        <v>#VALUE!</v>
      </c>
      <c r="E29" s="1518" t="e">
        <f>C29-D29</f>
        <v>#VALUE!</v>
      </c>
      <c r="F29" s="1519" t="str">
        <f>IF(AND('Copy &amp; Paste'!B14="ja",Pauschal!D40&gt;0),Pauschal!D40,"")</f>
        <v/>
      </c>
      <c r="G29" s="1520" t="str">
        <f>IF('Copy &amp; Paste'!B14="nein","",IF(AND('Copy &amp; Paste'!B14="ja",Pauschal!H28=""),Pauschal!H24,Pauschal!H28))</f>
        <v/>
      </c>
      <c r="H29" s="1473"/>
      <c r="I29" s="1473"/>
      <c r="J29" s="1473"/>
      <c r="K29" s="1473"/>
      <c r="L29" s="1473"/>
      <c r="M29" s="1473"/>
      <c r="N29" s="1473"/>
      <c r="O29" s="1473"/>
      <c r="P29" s="1473"/>
      <c r="Q29" s="1473"/>
      <c r="R29" s="1473"/>
      <c r="S29" s="1473"/>
      <c r="T29" s="1473"/>
      <c r="U29" s="1473"/>
      <c r="V29" s="1473"/>
      <c r="W29" s="1473"/>
      <c r="X29" s="1473"/>
      <c r="Y29" s="1473"/>
      <c r="Z29" s="1473"/>
    </row>
    <row r="30" spans="1:26" hidden="1">
      <c r="A30" s="1473"/>
      <c r="B30" s="1496" t="s">
        <v>1285</v>
      </c>
      <c r="C30" s="1521">
        <v>0</v>
      </c>
      <c r="D30" s="1521">
        <v>0</v>
      </c>
      <c r="E30" s="1521">
        <v>0</v>
      </c>
      <c r="F30" s="1473"/>
      <c r="G30" s="1473"/>
      <c r="H30" s="1473"/>
      <c r="I30" s="1473"/>
      <c r="J30" s="1473"/>
      <c r="K30" s="1473"/>
      <c r="L30" s="1473"/>
      <c r="M30" s="1473"/>
      <c r="N30" s="1473"/>
      <c r="O30" s="1473"/>
      <c r="P30" s="1473"/>
      <c r="Q30" s="1473"/>
      <c r="R30" s="1473"/>
      <c r="S30" s="1473"/>
      <c r="T30" s="1473"/>
      <c r="U30" s="1473"/>
      <c r="V30" s="1473"/>
      <c r="W30" s="1473"/>
      <c r="X30" s="1473"/>
      <c r="Y30" s="1473"/>
      <c r="Z30" s="1473"/>
    </row>
    <row r="31" spans="1:26">
      <c r="A31" s="1473"/>
      <c r="B31" s="1517" t="str">
        <f>IF(AND('Copy &amp; Paste'!I12&gt;0,'Copy &amp; Paste'!B14="ja"),"Kosten Kurzzeitpflege gesamt","Personalkosten Kurzzeitpflege gesamt")</f>
        <v>Personalkosten Kurzzeitpflege gesamt</v>
      </c>
      <c r="C31" s="1522" t="e">
        <f>C28+C29+C30</f>
        <v>#VALUE!</v>
      </c>
      <c r="D31" s="1522" t="e">
        <f t="shared" ref="D31:E31" si="3">D28+D29+D30</f>
        <v>#VALUE!</v>
      </c>
      <c r="E31" s="1522" t="e">
        <f t="shared" si="3"/>
        <v>#VALUE!</v>
      </c>
      <c r="F31" s="1473"/>
      <c r="G31" s="1473"/>
      <c r="H31" s="1473"/>
      <c r="I31" s="1473"/>
      <c r="J31" s="1473"/>
      <c r="K31" s="1473"/>
      <c r="L31" s="1473"/>
      <c r="M31" s="1473"/>
      <c r="N31" s="1473"/>
      <c r="O31" s="1473"/>
      <c r="P31" s="1473"/>
      <c r="Q31" s="1473"/>
      <c r="R31" s="1473"/>
      <c r="S31" s="1473"/>
      <c r="T31" s="1473"/>
      <c r="U31" s="1473"/>
      <c r="V31" s="1473"/>
      <c r="W31" s="1473"/>
      <c r="X31" s="1473"/>
      <c r="Y31" s="1473"/>
      <c r="Z31" s="1473"/>
    </row>
    <row r="32" spans="1:26" ht="6.75" customHeight="1">
      <c r="A32" s="1473"/>
      <c r="B32" s="1496"/>
      <c r="C32" s="1496"/>
      <c r="D32" s="1496"/>
      <c r="E32" s="1496"/>
      <c r="F32" s="1473"/>
      <c r="G32" s="1473"/>
      <c r="H32" s="1473"/>
      <c r="I32" s="1473"/>
      <c r="J32" s="1473"/>
      <c r="K32" s="1473"/>
      <c r="L32" s="1473"/>
      <c r="M32" s="1473"/>
      <c r="N32" s="1473"/>
      <c r="O32" s="1473"/>
      <c r="P32" s="1473"/>
      <c r="Q32" s="1473"/>
      <c r="R32" s="1473"/>
      <c r="S32" s="1473"/>
      <c r="T32" s="1473"/>
      <c r="U32" s="1473"/>
      <c r="V32" s="1473"/>
      <c r="W32" s="1473"/>
      <c r="X32" s="1473"/>
      <c r="Y32" s="1473"/>
      <c r="Z32" s="1473"/>
    </row>
    <row r="33" spans="1:26" ht="15.75">
      <c r="A33" s="1473"/>
      <c r="B33" s="1514" t="s">
        <v>1286</v>
      </c>
      <c r="C33" s="1496"/>
      <c r="D33" s="1496"/>
      <c r="E33" s="1496"/>
      <c r="F33" s="1473"/>
      <c r="G33" s="1473"/>
      <c r="H33" s="1473"/>
      <c r="I33" s="1473"/>
      <c r="J33" s="1473"/>
      <c r="K33" s="1473"/>
      <c r="L33" s="1473"/>
      <c r="M33" s="1473"/>
      <c r="N33" s="1473"/>
      <c r="O33" s="1473"/>
      <c r="P33" s="1473"/>
      <c r="Q33" s="1473"/>
      <c r="R33" s="1473"/>
      <c r="S33" s="1473"/>
      <c r="T33" s="1473"/>
      <c r="U33" s="1473"/>
      <c r="V33" s="1473"/>
      <c r="W33" s="1473"/>
      <c r="X33" s="1473"/>
      <c r="Y33" s="1473"/>
      <c r="Z33" s="1473"/>
    </row>
    <row r="34" spans="1:26">
      <c r="A34" s="1473"/>
      <c r="B34" s="1496" t="s">
        <v>1287</v>
      </c>
      <c r="C34" s="1522" t="e">
        <f>IF('Copy &amp; Paste'!B14="ja","0",Ergebnis!G53)</f>
        <v>#VALUE!</v>
      </c>
      <c r="D34" s="1522" t="e">
        <f>IF('Copy &amp; Paste'!B14="ja","0",Ergebnis!I53)</f>
        <v>#VALUE!</v>
      </c>
      <c r="E34" s="1522" t="e">
        <f>IF('Copy &amp; Paste'!B14="ja","0",Ergebnis!J53)</f>
        <v>#VALUE!</v>
      </c>
      <c r="F34" s="1473"/>
      <c r="G34" s="1473"/>
      <c r="H34" s="1473"/>
      <c r="I34" s="1473"/>
      <c r="J34" s="1473"/>
      <c r="K34" s="1473"/>
      <c r="L34" s="1473"/>
      <c r="M34" s="1473"/>
      <c r="N34" s="1473"/>
      <c r="O34" s="1473"/>
      <c r="P34" s="1473"/>
      <c r="Q34" s="1473"/>
      <c r="R34" s="1473"/>
      <c r="S34" s="1473"/>
      <c r="T34" s="1473"/>
      <c r="U34" s="1473"/>
      <c r="V34" s="1473"/>
      <c r="W34" s="1473"/>
      <c r="X34" s="1473"/>
      <c r="Y34" s="1473"/>
      <c r="Z34" s="1473"/>
    </row>
    <row r="35" spans="1:26">
      <c r="A35" s="1473"/>
      <c r="B35" s="1496" t="s">
        <v>1288</v>
      </c>
      <c r="C35" s="1523" t="e">
        <f>IF(C34=0,"0",(C34/$D$9*($D$11)))</f>
        <v>#VALUE!</v>
      </c>
      <c r="D35" s="1522" t="e">
        <f>IF(D34=0,"0",(D34/$D$9*($D$11)))</f>
        <v>#VALUE!</v>
      </c>
      <c r="E35" s="1522" t="e">
        <f>IF(E34=0,"0",(E34/$D$9*($D$11)))</f>
        <v>#VALUE!</v>
      </c>
      <c r="F35" s="1473"/>
      <c r="G35" s="1473"/>
      <c r="H35" s="1473"/>
      <c r="I35" s="1473"/>
      <c r="J35" s="1473"/>
      <c r="K35" s="1473"/>
      <c r="L35" s="1473"/>
      <c r="M35" s="1473"/>
      <c r="N35" s="1473"/>
      <c r="O35" s="1473"/>
      <c r="P35" s="1473"/>
      <c r="Q35" s="1473"/>
      <c r="R35" s="1473"/>
      <c r="S35" s="1473"/>
      <c r="T35" s="1473"/>
      <c r="U35" s="1473"/>
      <c r="V35" s="1473"/>
      <c r="W35" s="1473"/>
      <c r="X35" s="1473"/>
      <c r="Y35" s="1473"/>
      <c r="Z35" s="1473"/>
    </row>
    <row r="36" spans="1:26">
      <c r="A36" s="1473"/>
      <c r="B36" s="1496"/>
      <c r="C36" s="1522"/>
      <c r="D36" s="1522"/>
      <c r="E36" s="1522"/>
      <c r="F36" s="1473"/>
      <c r="G36" s="1473"/>
      <c r="H36" s="1473"/>
      <c r="I36" s="1473"/>
      <c r="J36" s="1473"/>
      <c r="K36" s="1473"/>
      <c r="L36" s="1473"/>
      <c r="M36" s="1473"/>
      <c r="N36" s="1473"/>
      <c r="O36" s="1473"/>
      <c r="P36" s="1473"/>
      <c r="Q36" s="1473"/>
      <c r="R36" s="1473"/>
      <c r="S36" s="1473"/>
      <c r="T36" s="1473"/>
      <c r="U36" s="1473"/>
      <c r="V36" s="1473"/>
      <c r="W36" s="1473"/>
      <c r="X36" s="1473"/>
      <c r="Y36" s="1473"/>
      <c r="Z36" s="1473"/>
    </row>
    <row r="37" spans="1:26" ht="15">
      <c r="A37" s="1473"/>
      <c r="B37" s="1496" t="s">
        <v>1289</v>
      </c>
      <c r="C37" s="1524" t="e">
        <f>C31+C35</f>
        <v>#VALUE!</v>
      </c>
      <c r="D37" s="1524" t="e">
        <f t="shared" ref="D37:E37" si="4">D31+D35</f>
        <v>#VALUE!</v>
      </c>
      <c r="E37" s="1524" t="e">
        <f t="shared" si="4"/>
        <v>#VALUE!</v>
      </c>
      <c r="F37" s="1473"/>
      <c r="G37" s="1473"/>
      <c r="H37" s="1473"/>
      <c r="I37" s="1473"/>
      <c r="J37" s="1473"/>
      <c r="K37" s="1473"/>
      <c r="L37" s="1473"/>
      <c r="M37" s="1473"/>
      <c r="N37" s="1473"/>
      <c r="O37" s="1473"/>
      <c r="P37" s="1473"/>
      <c r="Q37" s="1473"/>
      <c r="R37" s="1473"/>
      <c r="S37" s="1473"/>
      <c r="T37" s="1473"/>
      <c r="U37" s="1473"/>
      <c r="V37" s="1473"/>
      <c r="W37" s="1473"/>
      <c r="X37" s="1473"/>
      <c r="Y37" s="1473"/>
      <c r="Z37" s="1473"/>
    </row>
    <row r="38" spans="1:26" ht="6.75" customHeight="1">
      <c r="A38" s="1473"/>
      <c r="B38" s="1473"/>
      <c r="C38" s="1473"/>
      <c r="D38" s="1473"/>
      <c r="E38" s="1473"/>
      <c r="F38" s="1473"/>
      <c r="G38" s="1473"/>
      <c r="H38" s="1473"/>
      <c r="I38" s="1473"/>
      <c r="J38" s="1473"/>
      <c r="K38" s="1473"/>
      <c r="L38" s="1473"/>
      <c r="M38" s="1473"/>
      <c r="N38" s="1473"/>
      <c r="O38" s="1473"/>
      <c r="P38" s="1473"/>
      <c r="Q38" s="1473"/>
      <c r="R38" s="1473"/>
      <c r="S38" s="1473"/>
      <c r="T38" s="1473"/>
      <c r="U38" s="1473"/>
      <c r="V38" s="1473"/>
      <c r="W38" s="1473"/>
      <c r="X38" s="1473"/>
      <c r="Y38" s="1473"/>
      <c r="Z38" s="1473"/>
    </row>
    <row r="39" spans="1:26" ht="15.75">
      <c r="A39" s="1473"/>
      <c r="B39" s="1514" t="s">
        <v>1290</v>
      </c>
      <c r="C39" s="1496"/>
      <c r="D39" s="1496"/>
      <c r="E39" s="1496"/>
      <c r="F39" s="1496"/>
      <c r="G39" s="1496"/>
      <c r="H39" s="1496"/>
      <c r="I39" s="1473"/>
      <c r="J39" s="1473"/>
      <c r="K39" s="1473"/>
      <c r="L39" s="1473"/>
      <c r="M39" s="1473"/>
      <c r="N39" s="1473"/>
      <c r="O39" s="1473"/>
      <c r="P39" s="1473"/>
      <c r="Q39" s="1473"/>
      <c r="R39" s="1473"/>
      <c r="S39" s="1473"/>
      <c r="T39" s="1473"/>
      <c r="U39" s="1473"/>
      <c r="V39" s="1473"/>
      <c r="W39" s="1473"/>
      <c r="X39" s="1473"/>
      <c r="Y39" s="1473"/>
      <c r="Z39" s="1473"/>
    </row>
    <row r="40" spans="1:26">
      <c r="A40" s="1473"/>
      <c r="B40" s="1525"/>
      <c r="C40" s="1525"/>
      <c r="D40" s="1525"/>
      <c r="E40" s="1525"/>
      <c r="F40" s="1525"/>
      <c r="G40" s="1525"/>
      <c r="H40" s="1525"/>
      <c r="I40" s="1473"/>
      <c r="J40" s="1473"/>
      <c r="K40" s="1473"/>
      <c r="L40" s="1473"/>
      <c r="M40" s="1473"/>
      <c r="N40" s="1473"/>
      <c r="O40" s="1473"/>
      <c r="P40" s="1473"/>
      <c r="Q40" s="1473"/>
      <c r="R40" s="1473"/>
      <c r="S40" s="1473"/>
      <c r="T40" s="1473"/>
      <c r="U40" s="1473"/>
      <c r="V40" s="1473"/>
      <c r="W40" s="1473"/>
      <c r="X40" s="1473"/>
      <c r="Y40" s="1473"/>
      <c r="Z40" s="1473"/>
    </row>
    <row r="41" spans="1:26">
      <c r="A41" s="1473"/>
      <c r="B41" s="1526" t="s">
        <v>1214</v>
      </c>
      <c r="C41" s="1527" t="s">
        <v>811</v>
      </c>
      <c r="D41" s="1527" t="s">
        <v>812</v>
      </c>
      <c r="E41" s="1527" t="s">
        <v>813</v>
      </c>
      <c r="F41" s="1527" t="s">
        <v>814</v>
      </c>
      <c r="G41" s="1527" t="s">
        <v>815</v>
      </c>
      <c r="H41" s="1527" t="s">
        <v>81</v>
      </c>
      <c r="I41" s="1473"/>
      <c r="J41" s="1473"/>
      <c r="K41" s="1473"/>
      <c r="L41" s="1473"/>
      <c r="M41" s="1473"/>
      <c r="N41" s="1473"/>
      <c r="O41" s="1473"/>
      <c r="P41" s="1473"/>
      <c r="Q41" s="1473"/>
      <c r="R41" s="1473"/>
      <c r="S41" s="1473"/>
      <c r="T41" s="1473"/>
      <c r="U41" s="1473"/>
      <c r="V41" s="1473"/>
      <c r="W41" s="1473"/>
      <c r="X41" s="1473"/>
      <c r="Y41" s="1473"/>
      <c r="Z41" s="1473"/>
    </row>
    <row r="42" spans="1:26">
      <c r="A42" s="1473"/>
      <c r="B42" s="1526" t="s">
        <v>888</v>
      </c>
      <c r="C42" s="1528" t="e">
        <f>C15</f>
        <v>#VALUE!</v>
      </c>
      <c r="D42" s="1528" t="e">
        <f t="shared" ref="D42:G42" si="5">D15</f>
        <v>#VALUE!</v>
      </c>
      <c r="E42" s="1528" t="e">
        <f t="shared" si="5"/>
        <v>#VALUE!</v>
      </c>
      <c r="F42" s="1528" t="e">
        <f t="shared" si="5"/>
        <v>#VALUE!</v>
      </c>
      <c r="G42" s="1528" t="e">
        <f t="shared" si="5"/>
        <v>#VALUE!</v>
      </c>
      <c r="H42" s="1529" t="e">
        <f>SUM(C42:G42)</f>
        <v>#VALUE!</v>
      </c>
      <c r="I42" s="1473"/>
      <c r="J42" s="1473"/>
      <c r="K42" s="1473"/>
      <c r="L42" s="1473"/>
      <c r="M42" s="1473"/>
      <c r="N42" s="1473"/>
      <c r="O42" s="1473"/>
      <c r="P42" s="1473"/>
      <c r="Q42" s="1473"/>
      <c r="R42" s="1473"/>
      <c r="S42" s="1473"/>
      <c r="T42" s="1473"/>
      <c r="U42" s="1473"/>
      <c r="V42" s="1473"/>
      <c r="W42" s="1473"/>
      <c r="X42" s="1473"/>
      <c r="Y42" s="1473"/>
      <c r="Z42" s="1473"/>
    </row>
    <row r="43" spans="1:26">
      <c r="A43" s="1473"/>
      <c r="B43" s="1526" t="s">
        <v>1291</v>
      </c>
      <c r="C43" s="1530" t="e">
        <f>C18</f>
        <v>#VALUE!</v>
      </c>
      <c r="D43" s="1530" t="e">
        <f t="shared" ref="D43:G43" si="6">D18</f>
        <v>#VALUE!</v>
      </c>
      <c r="E43" s="1530" t="e">
        <f t="shared" si="6"/>
        <v>#VALUE!</v>
      </c>
      <c r="F43" s="1530" t="e">
        <f t="shared" si="6"/>
        <v>#VALUE!</v>
      </c>
      <c r="G43" s="1530" t="e">
        <f t="shared" si="6"/>
        <v>#VALUE!</v>
      </c>
      <c r="H43" s="1530" t="e">
        <f>SUM(C43:G43)</f>
        <v>#VALUE!</v>
      </c>
      <c r="I43" s="1473"/>
      <c r="J43" s="1473"/>
      <c r="K43" s="1473"/>
      <c r="L43" s="1473"/>
      <c r="M43" s="1473"/>
      <c r="N43" s="1473"/>
      <c r="O43" s="1473"/>
      <c r="P43" s="1473"/>
      <c r="Q43" s="1473"/>
      <c r="R43" s="1473"/>
      <c r="S43" s="1473"/>
      <c r="T43" s="1473"/>
      <c r="U43" s="1473"/>
      <c r="V43" s="1473"/>
      <c r="W43" s="1473"/>
      <c r="X43" s="1473"/>
      <c r="Y43" s="1473"/>
      <c r="Z43" s="1473"/>
    </row>
    <row r="44" spans="1:26">
      <c r="A44" s="1473"/>
      <c r="B44" s="1526" t="s">
        <v>1277</v>
      </c>
      <c r="C44" s="1530">
        <v>1</v>
      </c>
      <c r="D44" s="1530">
        <v>1</v>
      </c>
      <c r="E44" s="1530">
        <v>1</v>
      </c>
      <c r="F44" s="1530">
        <v>1</v>
      </c>
      <c r="G44" s="1530">
        <v>1</v>
      </c>
      <c r="H44" s="1525"/>
      <c r="I44" s="1473"/>
      <c r="J44" s="1473"/>
      <c r="K44" s="1473"/>
      <c r="L44" s="1473"/>
      <c r="M44" s="1473"/>
      <c r="N44" s="1473"/>
      <c r="O44" s="1473"/>
      <c r="P44" s="1473"/>
      <c r="Q44" s="1473"/>
      <c r="R44" s="1473"/>
      <c r="S44" s="1473"/>
      <c r="T44" s="1473"/>
      <c r="U44" s="1473"/>
      <c r="V44" s="1473"/>
      <c r="W44" s="1473"/>
      <c r="X44" s="1473"/>
      <c r="Y44" s="1473"/>
      <c r="Z44" s="1473"/>
    </row>
    <row r="45" spans="1:26">
      <c r="A45" s="1473"/>
      <c r="B45" s="1526" t="s">
        <v>1206</v>
      </c>
      <c r="C45" s="1531" t="e">
        <f>$D$37/$H$18*C44</f>
        <v>#VALUE!</v>
      </c>
      <c r="D45" s="1531" t="e">
        <f t="shared" ref="D45:G45" si="7">$D$37/$H$18*D44</f>
        <v>#VALUE!</v>
      </c>
      <c r="E45" s="1531" t="e">
        <f t="shared" si="7"/>
        <v>#VALUE!</v>
      </c>
      <c r="F45" s="1531" t="e">
        <f t="shared" si="7"/>
        <v>#VALUE!</v>
      </c>
      <c r="G45" s="1531" t="e">
        <f t="shared" si="7"/>
        <v>#VALUE!</v>
      </c>
      <c r="H45" s="1496"/>
      <c r="I45" s="1473"/>
      <c r="J45" s="1473"/>
      <c r="K45" s="1473"/>
      <c r="L45" s="1473"/>
      <c r="M45" s="1473"/>
      <c r="N45" s="1473"/>
      <c r="O45" s="1473"/>
      <c r="P45" s="1473"/>
      <c r="Q45" s="1473"/>
      <c r="R45" s="1473"/>
      <c r="S45" s="1473"/>
      <c r="T45" s="1473"/>
      <c r="U45" s="1473"/>
      <c r="V45" s="1473"/>
      <c r="W45" s="1473"/>
      <c r="X45" s="1473"/>
      <c r="Y45" s="1473"/>
      <c r="Z45" s="1473"/>
    </row>
    <row r="46" spans="1:26">
      <c r="A46" s="1473"/>
      <c r="B46" s="1526" t="s">
        <v>756</v>
      </c>
      <c r="C46" s="1532" t="e">
        <f>E37/H16</f>
        <v>#VALUE!</v>
      </c>
      <c r="D46" s="1522" t="e">
        <f>$C$46</f>
        <v>#VALUE!</v>
      </c>
      <c r="E46" s="1522" t="e">
        <f t="shared" ref="E46:G46" si="8">$C$46</f>
        <v>#VALUE!</v>
      </c>
      <c r="F46" s="1522" t="e">
        <f t="shared" si="8"/>
        <v>#VALUE!</v>
      </c>
      <c r="G46" s="1522" t="e">
        <f t="shared" si="8"/>
        <v>#VALUE!</v>
      </c>
      <c r="H46" s="1496"/>
      <c r="I46" s="1473"/>
      <c r="J46" s="1473"/>
      <c r="K46" s="1473"/>
      <c r="L46" s="1473"/>
      <c r="M46" s="1473"/>
      <c r="N46" s="1473"/>
      <c r="O46" s="1473"/>
      <c r="P46" s="1473"/>
      <c r="Q46" s="1473"/>
      <c r="R46" s="1473"/>
      <c r="S46" s="1473"/>
      <c r="T46" s="1473"/>
      <c r="U46" s="1473"/>
      <c r="V46" s="1473"/>
      <c r="W46" s="1473"/>
      <c r="X46" s="1473"/>
      <c r="Y46" s="1473"/>
      <c r="Z46" s="1473"/>
    </row>
    <row r="47" spans="1:26">
      <c r="A47" s="1473"/>
      <c r="B47" s="1526" t="s">
        <v>81</v>
      </c>
      <c r="C47" s="1522" t="e">
        <f>C45+C46</f>
        <v>#VALUE!</v>
      </c>
      <c r="D47" s="1522" t="e">
        <f t="shared" ref="D47:G47" si="9">D45+D46</f>
        <v>#VALUE!</v>
      </c>
      <c r="E47" s="1522" t="e">
        <f t="shared" si="9"/>
        <v>#VALUE!</v>
      </c>
      <c r="F47" s="1522" t="e">
        <f t="shared" si="9"/>
        <v>#VALUE!</v>
      </c>
      <c r="G47" s="1522" t="e">
        <f t="shared" si="9"/>
        <v>#VALUE!</v>
      </c>
      <c r="H47" s="1496"/>
      <c r="I47" s="1473"/>
      <c r="J47" s="1473"/>
      <c r="K47" s="1473"/>
      <c r="L47" s="1473"/>
      <c r="M47" s="1473"/>
      <c r="N47" s="1473"/>
      <c r="O47" s="1473"/>
      <c r="P47" s="1473"/>
      <c r="Q47" s="1473"/>
      <c r="R47" s="1473"/>
      <c r="S47" s="1473"/>
      <c r="T47" s="1473"/>
      <c r="U47" s="1473"/>
      <c r="V47" s="1473"/>
      <c r="W47" s="1473"/>
      <c r="X47" s="1473"/>
      <c r="Y47" s="1473"/>
      <c r="Z47" s="1473"/>
    </row>
    <row r="48" spans="1:26" ht="6.75" customHeight="1">
      <c r="A48" s="1473"/>
      <c r="B48" s="1473"/>
      <c r="C48" s="1473"/>
      <c r="D48" s="1473"/>
      <c r="E48" s="1473"/>
      <c r="F48" s="1473"/>
      <c r="G48" s="1473"/>
      <c r="H48" s="1473"/>
      <c r="I48" s="1473"/>
      <c r="J48" s="1473"/>
      <c r="K48" s="1473"/>
      <c r="L48" s="1473"/>
      <c r="M48" s="1473"/>
      <c r="N48" s="1473"/>
      <c r="O48" s="1473"/>
      <c r="P48" s="1473"/>
      <c r="Q48" s="1473"/>
      <c r="R48" s="1473"/>
      <c r="S48" s="1473"/>
      <c r="T48" s="1473"/>
      <c r="U48" s="1473"/>
      <c r="V48" s="1473"/>
      <c r="W48" s="1473"/>
      <c r="X48" s="1473"/>
      <c r="Y48" s="1473"/>
      <c r="Z48" s="1473"/>
    </row>
    <row r="49" spans="1:26" ht="15.75">
      <c r="A49" s="1473"/>
      <c r="B49" s="1514" t="s">
        <v>1292</v>
      </c>
      <c r="C49" s="1496"/>
      <c r="D49" s="1496"/>
      <c r="E49" s="1496"/>
      <c r="F49" s="1496"/>
      <c r="G49" s="1496"/>
      <c r="H49" s="1496"/>
      <c r="I49" s="1473"/>
      <c r="J49" s="1473"/>
      <c r="K49" s="1473"/>
      <c r="L49" s="1473"/>
      <c r="M49" s="1473"/>
      <c r="N49" s="1473"/>
      <c r="O49" s="1473"/>
      <c r="P49" s="1473"/>
      <c r="Q49" s="1473"/>
      <c r="R49" s="1473"/>
      <c r="S49" s="1473"/>
      <c r="T49" s="1473"/>
      <c r="U49" s="1473"/>
      <c r="V49" s="1473"/>
      <c r="W49" s="1473"/>
      <c r="X49" s="1473"/>
      <c r="Y49" s="1473"/>
      <c r="Z49" s="1473"/>
    </row>
    <row r="50" spans="1:26" ht="6.75" customHeight="1">
      <c r="A50" s="1473"/>
      <c r="B50" s="1473"/>
      <c r="C50" s="1473"/>
      <c r="D50" s="1473"/>
      <c r="E50" s="1473"/>
      <c r="F50" s="1473"/>
      <c r="G50" s="1473"/>
      <c r="H50" s="1473"/>
      <c r="I50" s="1473"/>
      <c r="J50" s="1473"/>
      <c r="K50" s="1473"/>
      <c r="L50" s="1473"/>
      <c r="M50" s="1473"/>
      <c r="N50" s="1473"/>
      <c r="O50" s="1473"/>
      <c r="P50" s="1473"/>
      <c r="Q50" s="1473"/>
      <c r="R50" s="1473"/>
      <c r="S50" s="1473"/>
      <c r="T50" s="1473"/>
      <c r="U50" s="1473"/>
      <c r="V50" s="1473"/>
      <c r="W50" s="1473"/>
      <c r="X50" s="1473"/>
      <c r="Y50" s="1473"/>
      <c r="Z50" s="1473"/>
    </row>
    <row r="51" spans="1:26">
      <c r="A51" s="1473"/>
      <c r="B51" s="1533" t="s">
        <v>1293</v>
      </c>
      <c r="C51" s="1534" t="e">
        <f>Ergebnis!I55/Berechnungstage</f>
        <v>#VALUE!</v>
      </c>
      <c r="D51" s="1473"/>
      <c r="E51" s="1473"/>
      <c r="F51" s="1473"/>
      <c r="G51" s="1473"/>
      <c r="H51" s="1473"/>
      <c r="I51" s="1473"/>
      <c r="J51" s="1473"/>
      <c r="K51" s="1473"/>
      <c r="L51" s="1473"/>
      <c r="M51" s="1473"/>
      <c r="N51" s="1473"/>
      <c r="O51" s="1473"/>
      <c r="P51" s="1473"/>
      <c r="Q51" s="1473"/>
      <c r="R51" s="1473"/>
      <c r="S51" s="1473"/>
      <c r="T51" s="1473"/>
      <c r="U51" s="1473"/>
      <c r="V51" s="1473"/>
      <c r="W51" s="1473"/>
      <c r="X51" s="1473"/>
      <c r="Y51" s="1473"/>
      <c r="Z51" s="1473"/>
    </row>
    <row r="52" spans="1:26" ht="15">
      <c r="A52" s="1473"/>
      <c r="B52" s="1535" t="s">
        <v>1294</v>
      </c>
      <c r="C52" s="1534" t="e">
        <f>D37/H18</f>
        <v>#VALUE!</v>
      </c>
      <c r="D52" s="583"/>
      <c r="E52" s="584"/>
      <c r="F52" s="1473"/>
      <c r="G52" s="1473"/>
      <c r="H52" s="1473"/>
      <c r="I52" s="1473"/>
      <c r="J52" s="1473"/>
      <c r="K52" s="1473"/>
      <c r="L52" s="1473"/>
      <c r="M52" s="1473"/>
      <c r="N52" s="1473"/>
      <c r="O52" s="1473"/>
      <c r="P52" s="1473"/>
      <c r="Q52" s="1473"/>
      <c r="R52" s="1473"/>
      <c r="S52" s="1473"/>
      <c r="T52" s="1473"/>
      <c r="U52" s="1473"/>
      <c r="V52" s="1473"/>
      <c r="W52" s="1473"/>
      <c r="X52" s="1473"/>
      <c r="Y52" s="1473"/>
      <c r="Z52" s="1473"/>
    </row>
    <row r="53" spans="1:26" ht="15">
      <c r="A53" s="1473"/>
      <c r="B53" s="1535" t="s">
        <v>222</v>
      </c>
      <c r="C53" s="1536" t="e">
        <f>C52-C51</f>
        <v>#VALUE!</v>
      </c>
      <c r="D53" s="1473"/>
      <c r="E53" s="1473"/>
      <c r="F53" s="1473"/>
      <c r="G53" s="1473"/>
      <c r="H53" s="1473"/>
      <c r="I53" s="1473"/>
      <c r="J53" s="1473"/>
      <c r="K53" s="1473"/>
      <c r="L53" s="1473"/>
      <c r="M53" s="1473"/>
      <c r="N53" s="1473"/>
      <c r="O53" s="1473"/>
      <c r="P53" s="1473"/>
      <c r="Q53" s="1473"/>
      <c r="R53" s="1473"/>
      <c r="S53" s="1473"/>
      <c r="T53" s="1473"/>
      <c r="U53" s="1473"/>
      <c r="V53" s="1473"/>
      <c r="W53" s="1473"/>
      <c r="X53" s="1473"/>
      <c r="Y53" s="1473"/>
      <c r="Z53" s="1473"/>
    </row>
    <row r="54" spans="1:26" ht="15" customHeight="1">
      <c r="A54" s="1473"/>
      <c r="B54" s="1535"/>
      <c r="C54" s="1535"/>
      <c r="D54" s="1537"/>
      <c r="E54" s="1537"/>
      <c r="F54" s="1538" t="s">
        <v>1297</v>
      </c>
      <c r="G54" s="1473"/>
      <c r="H54" s="1473"/>
      <c r="I54" s="1473"/>
      <c r="J54" s="1473"/>
      <c r="K54" s="1473"/>
      <c r="L54" s="1473"/>
      <c r="M54" s="1473"/>
      <c r="N54" s="1473"/>
      <c r="O54" s="1473"/>
      <c r="P54" s="1473"/>
      <c r="Q54" s="1473"/>
      <c r="R54" s="1473"/>
      <c r="S54" s="1473"/>
      <c r="T54" s="1473"/>
      <c r="U54" s="1473"/>
      <c r="V54" s="1473"/>
      <c r="W54" s="1473"/>
      <c r="X54" s="1473"/>
      <c r="Y54" s="1473"/>
      <c r="Z54" s="1473"/>
    </row>
    <row r="55" spans="1:26" ht="12.75" customHeight="1">
      <c r="A55" s="1473"/>
      <c r="B55" s="1535" t="s">
        <v>1295</v>
      </c>
      <c r="C55" s="1534" t="e">
        <f>Ergebnis!J57</f>
        <v>#VALUE!</v>
      </c>
      <c r="D55" s="1539" t="s">
        <v>1296</v>
      </c>
      <c r="E55" s="1539" t="s">
        <v>1297</v>
      </c>
      <c r="F55" s="1540" t="s">
        <v>980</v>
      </c>
      <c r="G55" s="1473"/>
      <c r="H55" s="1473"/>
      <c r="I55" s="1473"/>
      <c r="J55" s="1473"/>
      <c r="K55" s="1473"/>
      <c r="L55" s="1473"/>
      <c r="M55" s="1473"/>
      <c r="N55" s="1473"/>
      <c r="O55" s="1473"/>
      <c r="P55" s="1473"/>
      <c r="Q55" s="1473"/>
      <c r="R55" s="1473"/>
      <c r="S55" s="1473"/>
      <c r="T55" s="1473"/>
      <c r="U55" s="1473"/>
      <c r="V55" s="1473"/>
      <c r="W55" s="1473"/>
      <c r="X55" s="1473"/>
      <c r="Y55" s="1473"/>
      <c r="Z55" s="1473"/>
    </row>
    <row r="56" spans="1:26" ht="17.25">
      <c r="A56" s="1473"/>
      <c r="B56" s="1541" t="s">
        <v>1298</v>
      </c>
      <c r="C56" s="1534" t="e">
        <f>C46</f>
        <v>#VALUE!</v>
      </c>
      <c r="D56" s="1542" t="e">
        <f>C56*0.565</f>
        <v>#VALUE!</v>
      </c>
      <c r="E56" s="1542" t="e">
        <f>C56-D56</f>
        <v>#VALUE!</v>
      </c>
      <c r="F56" s="1542" t="e">
        <f>E56/3*2</f>
        <v>#VALUE!</v>
      </c>
      <c r="G56" s="1473"/>
      <c r="H56" s="1473"/>
      <c r="I56" s="1473"/>
      <c r="J56" s="1473"/>
      <c r="K56" s="1473"/>
      <c r="L56" s="1473"/>
      <c r="M56" s="1473"/>
      <c r="N56" s="1473"/>
      <c r="O56" s="1473"/>
      <c r="P56" s="1473"/>
      <c r="Q56" s="1473"/>
      <c r="R56" s="1473"/>
      <c r="S56" s="1473"/>
      <c r="T56" s="1473"/>
      <c r="U56" s="1473"/>
      <c r="V56" s="1473"/>
      <c r="W56" s="1473"/>
      <c r="X56" s="1473"/>
      <c r="Y56" s="1473"/>
      <c r="Z56" s="1473"/>
    </row>
    <row r="57" spans="1:26" ht="15">
      <c r="A57" s="1473"/>
      <c r="B57" s="1535" t="s">
        <v>222</v>
      </c>
      <c r="C57" s="1536" t="e">
        <f>C56-C55</f>
        <v>#VALUE!</v>
      </c>
      <c r="D57" s="1473"/>
      <c r="E57" s="1473"/>
      <c r="F57" s="1473"/>
      <c r="G57" s="1473"/>
      <c r="H57" s="1473"/>
      <c r="I57" s="1473"/>
      <c r="J57" s="1473"/>
      <c r="K57" s="1473"/>
      <c r="L57" s="1473"/>
      <c r="M57" s="1473"/>
      <c r="N57" s="1473"/>
      <c r="O57" s="1473"/>
      <c r="P57" s="1473"/>
      <c r="Q57" s="1473"/>
      <c r="R57" s="1473"/>
      <c r="S57" s="1473"/>
      <c r="T57" s="1473"/>
      <c r="U57" s="1473"/>
      <c r="V57" s="1473"/>
      <c r="W57" s="1473"/>
      <c r="X57" s="1473"/>
      <c r="Y57" s="1473"/>
      <c r="Z57" s="1473"/>
    </row>
    <row r="58" spans="1:26" ht="15">
      <c r="A58" s="1473"/>
      <c r="B58" s="1535"/>
      <c r="C58" s="1535"/>
      <c r="D58" s="1543" t="str">
        <f>IF(Ergebnis!F57=0,"",IF(Ergebnis!F57="","","Unterkunft + Verpflegung bei Sondennahrung"))</f>
        <v/>
      </c>
      <c r="E58" s="1539"/>
      <c r="F58" s="1473"/>
      <c r="G58" s="1473"/>
      <c r="H58" s="1473"/>
      <c r="I58" s="1473"/>
      <c r="J58" s="1473"/>
      <c r="K58" s="1473"/>
      <c r="L58" s="1473"/>
      <c r="M58" s="1473"/>
      <c r="N58" s="1473"/>
      <c r="O58" s="1473"/>
      <c r="P58" s="1473"/>
      <c r="Q58" s="1473"/>
      <c r="R58" s="1473"/>
      <c r="S58" s="1473"/>
      <c r="T58" s="1473"/>
      <c r="U58" s="1473"/>
      <c r="V58" s="1473"/>
      <c r="W58" s="1473"/>
      <c r="X58" s="1473"/>
      <c r="Y58" s="1473"/>
      <c r="Z58" s="1473"/>
    </row>
    <row r="59" spans="1:26" ht="17.25">
      <c r="A59" s="1473"/>
      <c r="B59" s="1535" t="s">
        <v>1299</v>
      </c>
      <c r="C59" s="1544" t="e">
        <f>C53+C57</f>
        <v>#VALUE!</v>
      </c>
      <c r="D59" s="4589" t="str">
        <f>IF(Ergebnis!A72="","",D56+F56)</f>
        <v/>
      </c>
      <c r="E59" s="4589"/>
      <c r="F59" s="1473"/>
      <c r="G59" s="1473"/>
      <c r="H59" s="1473"/>
      <c r="I59" s="1473"/>
      <c r="J59" s="1473"/>
      <c r="K59" s="1473"/>
      <c r="L59" s="1473"/>
      <c r="M59" s="1473"/>
      <c r="N59" s="1473"/>
      <c r="O59" s="1473"/>
      <c r="P59" s="1473"/>
      <c r="Q59" s="1473"/>
      <c r="R59" s="1473"/>
      <c r="S59" s="1473"/>
      <c r="T59" s="1473"/>
      <c r="U59" s="1473"/>
      <c r="V59" s="1473"/>
      <c r="W59" s="1473"/>
      <c r="X59" s="1473"/>
      <c r="Y59" s="1473"/>
      <c r="Z59" s="1473"/>
    </row>
    <row r="60" spans="1:26">
      <c r="A60" s="1473"/>
      <c r="B60" s="1473"/>
      <c r="C60" s="1473"/>
      <c r="D60" s="1473"/>
      <c r="E60" s="1473"/>
      <c r="F60" s="1473"/>
      <c r="G60" s="1473"/>
      <c r="H60" s="1473"/>
      <c r="I60" s="1473"/>
      <c r="J60" s="1473"/>
      <c r="K60" s="1473"/>
      <c r="L60" s="1473"/>
      <c r="M60" s="1473"/>
      <c r="N60" s="1473"/>
      <c r="O60" s="1473"/>
      <c r="P60" s="1473"/>
      <c r="Q60" s="1473"/>
      <c r="R60" s="1473"/>
      <c r="S60" s="1473"/>
      <c r="T60" s="1473"/>
      <c r="U60" s="1473"/>
      <c r="V60" s="1473"/>
      <c r="W60" s="1473"/>
      <c r="X60" s="1473"/>
      <c r="Y60" s="1473"/>
      <c r="Z60" s="1473"/>
    </row>
    <row r="61" spans="1:26">
      <c r="A61" s="1473"/>
      <c r="B61" s="1473"/>
      <c r="C61" s="1473"/>
      <c r="D61" s="1473"/>
      <c r="E61" s="1473"/>
      <c r="F61" s="1473"/>
      <c r="G61" s="1473"/>
      <c r="H61" s="1473"/>
      <c r="I61" s="1473"/>
      <c r="J61" s="1473"/>
      <c r="K61" s="1473"/>
      <c r="L61" s="1473"/>
      <c r="M61" s="1473"/>
      <c r="N61" s="1473"/>
      <c r="O61" s="1473"/>
      <c r="P61" s="1473"/>
      <c r="Q61" s="1473"/>
      <c r="R61" s="1473"/>
      <c r="S61" s="1473"/>
      <c r="T61" s="1473"/>
      <c r="U61" s="1473"/>
      <c r="V61" s="1473"/>
      <c r="W61" s="1473"/>
      <c r="X61" s="1473"/>
      <c r="Y61" s="1473"/>
      <c r="Z61" s="1473"/>
    </row>
    <row r="62" spans="1:26">
      <c r="A62" s="1473"/>
      <c r="B62" s="1473"/>
      <c r="C62" s="1473"/>
      <c r="D62" s="1473"/>
      <c r="E62" s="1473"/>
      <c r="F62" s="1473"/>
      <c r="G62" s="1473"/>
      <c r="H62" s="1473"/>
      <c r="I62" s="1473"/>
      <c r="J62" s="1473"/>
      <c r="K62" s="1473"/>
      <c r="L62" s="1473"/>
      <c r="M62" s="1473"/>
      <c r="N62" s="1473"/>
      <c r="O62" s="1473"/>
      <c r="P62" s="1473"/>
      <c r="Q62" s="1473"/>
      <c r="R62" s="1473"/>
      <c r="S62" s="1473"/>
      <c r="T62" s="1473"/>
      <c r="U62" s="1473"/>
      <c r="V62" s="1473"/>
      <c r="W62" s="1473"/>
      <c r="X62" s="1473"/>
      <c r="Y62" s="1473"/>
      <c r="Z62" s="1473"/>
    </row>
    <row r="63" spans="1:26">
      <c r="A63" s="1473"/>
      <c r="B63" s="1473"/>
      <c r="C63" s="1473"/>
      <c r="D63" s="1473"/>
      <c r="E63" s="1473"/>
      <c r="F63" s="1473"/>
      <c r="G63" s="1473"/>
      <c r="H63" s="1473"/>
      <c r="I63" s="1473"/>
      <c r="J63" s="1473"/>
      <c r="K63" s="1473"/>
      <c r="L63" s="1473"/>
      <c r="M63" s="1473"/>
      <c r="N63" s="1473"/>
      <c r="O63" s="1473"/>
      <c r="P63" s="1473"/>
      <c r="Q63" s="1473"/>
      <c r="R63" s="1473"/>
      <c r="S63" s="1473"/>
      <c r="T63" s="1473"/>
      <c r="U63" s="1473"/>
      <c r="V63" s="1473"/>
      <c r="W63" s="1473"/>
      <c r="X63" s="1473"/>
      <c r="Y63" s="1473"/>
      <c r="Z63" s="1473"/>
    </row>
    <row r="64" spans="1:26">
      <c r="A64" s="1473"/>
      <c r="B64" s="1473"/>
      <c r="C64" s="1473"/>
      <c r="D64" s="1473"/>
      <c r="E64" s="1473"/>
      <c r="F64" s="1473"/>
      <c r="G64" s="1473"/>
      <c r="H64" s="1473"/>
      <c r="I64" s="1473"/>
      <c r="J64" s="1473"/>
      <c r="K64" s="1473"/>
      <c r="L64" s="1473"/>
      <c r="M64" s="1473"/>
      <c r="N64" s="1473"/>
      <c r="O64" s="1473"/>
      <c r="P64" s="1473"/>
      <c r="Q64" s="1473"/>
      <c r="R64" s="1473"/>
      <c r="S64" s="1473"/>
      <c r="T64" s="1473"/>
      <c r="U64" s="1473"/>
      <c r="V64" s="1473"/>
      <c r="W64" s="1473"/>
      <c r="X64" s="1473"/>
      <c r="Y64" s="1473"/>
      <c r="Z64" s="1473"/>
    </row>
    <row r="65" spans="1:26">
      <c r="A65" s="1473"/>
      <c r="B65" s="1473"/>
      <c r="C65" s="1473"/>
      <c r="D65" s="1473"/>
      <c r="E65" s="1473"/>
      <c r="F65" s="1473"/>
      <c r="G65" s="1473"/>
      <c r="H65" s="1473"/>
      <c r="I65" s="1473"/>
      <c r="J65" s="1473"/>
      <c r="K65" s="1473"/>
      <c r="L65" s="1473"/>
      <c r="M65" s="1473"/>
      <c r="N65" s="1473"/>
      <c r="O65" s="1473"/>
      <c r="P65" s="1473"/>
      <c r="Q65" s="1473"/>
      <c r="R65" s="1473"/>
      <c r="S65" s="1473"/>
      <c r="T65" s="1473"/>
      <c r="U65" s="1473"/>
      <c r="V65" s="1473"/>
      <c r="W65" s="1473"/>
      <c r="X65" s="1473"/>
      <c r="Y65" s="1473"/>
      <c r="Z65" s="1473"/>
    </row>
    <row r="66" spans="1:26">
      <c r="A66" s="1473"/>
      <c r="B66" s="1473"/>
      <c r="C66" s="1473"/>
      <c r="D66" s="1473"/>
      <c r="E66" s="1473"/>
      <c r="F66" s="1473"/>
      <c r="G66" s="1473"/>
      <c r="H66" s="1473"/>
      <c r="I66" s="1473"/>
      <c r="J66" s="1473"/>
      <c r="K66" s="1473"/>
      <c r="L66" s="1473"/>
      <c r="M66" s="1473"/>
      <c r="N66" s="1473"/>
      <c r="O66" s="1473"/>
      <c r="P66" s="1473"/>
      <c r="Q66" s="1473"/>
      <c r="R66" s="1473"/>
      <c r="S66" s="1473"/>
      <c r="T66" s="1473"/>
      <c r="U66" s="1473"/>
      <c r="V66" s="1473"/>
      <c r="W66" s="1473"/>
      <c r="X66" s="1473"/>
      <c r="Y66" s="1473"/>
      <c r="Z66" s="1473"/>
    </row>
    <row r="67" spans="1:26">
      <c r="A67" s="1473"/>
      <c r="B67" s="1473"/>
      <c r="C67" s="1473"/>
      <c r="D67" s="1473"/>
      <c r="E67" s="1473"/>
      <c r="F67" s="1473"/>
      <c r="G67" s="1473"/>
      <c r="H67" s="1473"/>
      <c r="I67" s="1473"/>
      <c r="J67" s="1473"/>
      <c r="K67" s="1473"/>
      <c r="L67" s="1473"/>
      <c r="M67" s="1473"/>
      <c r="N67" s="1473"/>
      <c r="O67" s="1473"/>
      <c r="P67" s="1473"/>
      <c r="Q67" s="1473"/>
      <c r="R67" s="1473"/>
      <c r="S67" s="1473"/>
      <c r="T67" s="1473"/>
      <c r="U67" s="1473"/>
      <c r="V67" s="1473"/>
      <c r="W67" s="1473"/>
      <c r="X67" s="1473"/>
      <c r="Y67" s="1473"/>
      <c r="Z67" s="1473"/>
    </row>
    <row r="68" spans="1:26">
      <c r="A68" s="1473"/>
      <c r="B68" s="1473"/>
      <c r="C68" s="1473"/>
      <c r="D68" s="1473"/>
      <c r="E68" s="1473"/>
      <c r="F68" s="1473"/>
      <c r="G68" s="1473"/>
      <c r="H68" s="1473"/>
      <c r="I68" s="1473"/>
      <c r="J68" s="1473"/>
      <c r="K68" s="1473"/>
      <c r="L68" s="1473"/>
      <c r="M68" s="1473"/>
      <c r="N68" s="1473"/>
      <c r="O68" s="1473"/>
      <c r="P68" s="1473"/>
      <c r="Q68" s="1473"/>
      <c r="R68" s="1473"/>
      <c r="S68" s="1473"/>
      <c r="T68" s="1473"/>
      <c r="U68" s="1473"/>
      <c r="V68" s="1473"/>
      <c r="W68" s="1473"/>
      <c r="X68" s="1473"/>
      <c r="Y68" s="1473"/>
      <c r="Z68" s="1473"/>
    </row>
    <row r="69" spans="1:26">
      <c r="A69" s="1473"/>
      <c r="B69" s="1473"/>
      <c r="C69" s="1473"/>
      <c r="D69" s="1473"/>
      <c r="E69" s="1473"/>
      <c r="F69" s="1473"/>
      <c r="G69" s="1473"/>
      <c r="H69" s="1473"/>
      <c r="I69" s="1473"/>
      <c r="J69" s="1473"/>
      <c r="K69" s="1473"/>
      <c r="L69" s="1473"/>
      <c r="M69" s="1473"/>
      <c r="N69" s="1473"/>
      <c r="O69" s="1473"/>
      <c r="P69" s="1473"/>
      <c r="Q69" s="1473"/>
      <c r="R69" s="1473"/>
      <c r="S69" s="1473"/>
      <c r="T69" s="1473"/>
      <c r="U69" s="1473"/>
      <c r="V69" s="1473"/>
      <c r="W69" s="1473"/>
      <c r="X69" s="1473"/>
      <c r="Y69" s="1473"/>
      <c r="Z69" s="1473"/>
    </row>
    <row r="70" spans="1:26">
      <c r="A70" s="1473"/>
      <c r="B70" s="1473"/>
      <c r="C70" s="1473"/>
      <c r="D70" s="1473"/>
      <c r="E70" s="1473"/>
      <c r="F70" s="1473"/>
      <c r="G70" s="1473"/>
      <c r="H70" s="1473"/>
      <c r="I70" s="1473"/>
      <c r="J70" s="1473"/>
      <c r="K70" s="1473"/>
      <c r="L70" s="1473"/>
      <c r="M70" s="1473"/>
      <c r="N70" s="1473"/>
      <c r="O70" s="1473"/>
      <c r="P70" s="1473"/>
      <c r="Q70" s="1473"/>
      <c r="R70" s="1473"/>
      <c r="S70" s="1473"/>
      <c r="T70" s="1473"/>
      <c r="U70" s="1473"/>
      <c r="V70" s="1473"/>
      <c r="W70" s="1473"/>
      <c r="X70" s="1473"/>
      <c r="Y70" s="1473"/>
      <c r="Z70" s="1473"/>
    </row>
    <row r="71" spans="1:26">
      <c r="A71" s="1473"/>
      <c r="B71" s="1473"/>
      <c r="C71" s="1473"/>
      <c r="D71" s="1473"/>
      <c r="E71" s="1473"/>
      <c r="F71" s="1473"/>
      <c r="G71" s="1473"/>
      <c r="H71" s="1473"/>
      <c r="I71" s="1473"/>
      <c r="J71" s="1473"/>
      <c r="K71" s="1473"/>
      <c r="L71" s="1473"/>
      <c r="M71" s="1473"/>
      <c r="N71" s="1473"/>
      <c r="O71" s="1473"/>
      <c r="P71" s="1473"/>
      <c r="Q71" s="1473"/>
      <c r="R71" s="1473"/>
      <c r="S71" s="1473"/>
      <c r="T71" s="1473"/>
      <c r="U71" s="1473"/>
      <c r="V71" s="1473"/>
      <c r="W71" s="1473"/>
      <c r="X71" s="1473"/>
      <c r="Y71" s="1473"/>
      <c r="Z71" s="1473"/>
    </row>
    <row r="72" spans="1:26">
      <c r="A72" s="1473"/>
      <c r="B72" s="1473"/>
      <c r="C72" s="1473"/>
      <c r="D72" s="1473"/>
      <c r="E72" s="1473"/>
      <c r="F72" s="1473"/>
      <c r="G72" s="1473"/>
      <c r="H72" s="1473"/>
      <c r="I72" s="1473"/>
      <c r="J72" s="1473"/>
      <c r="K72" s="1473"/>
      <c r="L72" s="1473"/>
      <c r="M72" s="1473"/>
      <c r="N72" s="1473"/>
      <c r="O72" s="1473"/>
      <c r="P72" s="1473"/>
      <c r="Q72" s="1473"/>
      <c r="R72" s="1473"/>
      <c r="S72" s="1473"/>
      <c r="T72" s="1473"/>
      <c r="U72" s="1473"/>
      <c r="V72" s="1473"/>
      <c r="W72" s="1473"/>
      <c r="X72" s="1473"/>
      <c r="Y72" s="1473"/>
      <c r="Z72" s="1473"/>
    </row>
    <row r="73" spans="1:26">
      <c r="A73" s="1473"/>
      <c r="B73" s="1473"/>
      <c r="C73" s="1473"/>
      <c r="D73" s="1473"/>
      <c r="E73" s="1473"/>
      <c r="F73" s="1473"/>
      <c r="G73" s="1473"/>
      <c r="H73" s="1473"/>
      <c r="I73" s="1473"/>
      <c r="J73" s="1473"/>
      <c r="K73" s="1473"/>
      <c r="L73" s="1473"/>
      <c r="M73" s="1473"/>
      <c r="N73" s="1473"/>
      <c r="O73" s="1473"/>
      <c r="P73" s="1473"/>
      <c r="Q73" s="1473"/>
      <c r="R73" s="1473"/>
      <c r="S73" s="1473"/>
      <c r="T73" s="1473"/>
      <c r="U73" s="1473"/>
      <c r="V73" s="1473"/>
      <c r="W73" s="1473"/>
      <c r="X73" s="1473"/>
      <c r="Y73" s="1473"/>
      <c r="Z73" s="1473"/>
    </row>
    <row r="74" spans="1:26">
      <c r="A74" s="1473"/>
      <c r="B74" s="1473"/>
      <c r="C74" s="1473"/>
      <c r="D74" s="1473"/>
      <c r="E74" s="1473"/>
      <c r="F74" s="1473"/>
      <c r="G74" s="1473"/>
      <c r="H74" s="1473"/>
      <c r="I74" s="1473"/>
      <c r="J74" s="1473"/>
      <c r="K74" s="1473"/>
      <c r="L74" s="1473"/>
      <c r="M74" s="1473"/>
      <c r="N74" s="1473"/>
      <c r="O74" s="1473"/>
      <c r="P74" s="1473"/>
      <c r="Q74" s="1473"/>
      <c r="R74" s="1473"/>
      <c r="S74" s="1473"/>
      <c r="T74" s="1473"/>
      <c r="U74" s="1473"/>
      <c r="V74" s="1473"/>
      <c r="W74" s="1473"/>
      <c r="X74" s="1473"/>
      <c r="Y74" s="1473"/>
      <c r="Z74" s="1473"/>
    </row>
    <row r="75" spans="1:26">
      <c r="A75" s="1473"/>
      <c r="B75" s="1473"/>
      <c r="C75" s="1473"/>
      <c r="D75" s="1473"/>
      <c r="E75" s="1473"/>
      <c r="F75" s="1473"/>
      <c r="G75" s="1473"/>
      <c r="H75" s="1473"/>
      <c r="I75" s="1473"/>
      <c r="J75" s="1473"/>
      <c r="K75" s="1473"/>
      <c r="L75" s="1473"/>
      <c r="M75" s="1473"/>
      <c r="N75" s="1473"/>
      <c r="O75" s="1473"/>
      <c r="P75" s="1473"/>
      <c r="Q75" s="1473"/>
      <c r="R75" s="1473"/>
      <c r="S75" s="1473"/>
      <c r="T75" s="1473"/>
      <c r="U75" s="1473"/>
      <c r="V75" s="1473"/>
      <c r="W75" s="1473"/>
      <c r="X75" s="1473"/>
      <c r="Y75" s="1473"/>
      <c r="Z75" s="1473"/>
    </row>
    <row r="76" spans="1:26">
      <c r="A76" s="1473"/>
      <c r="B76" s="1473"/>
      <c r="C76" s="1473"/>
      <c r="D76" s="1473"/>
      <c r="E76" s="1473"/>
      <c r="F76" s="1473"/>
      <c r="G76" s="1473"/>
      <c r="H76" s="1473"/>
      <c r="I76" s="1473"/>
      <c r="J76" s="1473"/>
      <c r="K76" s="1473"/>
      <c r="L76" s="1473"/>
      <c r="M76" s="1473"/>
      <c r="N76" s="1473"/>
      <c r="O76" s="1473"/>
      <c r="P76" s="1473"/>
      <c r="Q76" s="1473"/>
      <c r="R76" s="1473"/>
      <c r="S76" s="1473"/>
      <c r="T76" s="1473"/>
      <c r="U76" s="1473"/>
      <c r="V76" s="1473"/>
      <c r="W76" s="1473"/>
      <c r="X76" s="1473"/>
      <c r="Y76" s="1473"/>
      <c r="Z76" s="1473"/>
    </row>
    <row r="77" spans="1:26">
      <c r="A77" s="1473"/>
      <c r="B77" s="1473"/>
      <c r="C77" s="1473"/>
      <c r="D77" s="1473"/>
      <c r="E77" s="1473"/>
      <c r="F77" s="1473"/>
      <c r="G77" s="1473"/>
      <c r="H77" s="1473"/>
      <c r="I77" s="1473"/>
      <c r="J77" s="1473"/>
      <c r="K77" s="1473"/>
      <c r="L77" s="1473"/>
      <c r="M77" s="1473"/>
      <c r="N77" s="1473"/>
      <c r="O77" s="1473"/>
      <c r="P77" s="1473"/>
      <c r="Q77" s="1473"/>
      <c r="R77" s="1473"/>
      <c r="S77" s="1473"/>
      <c r="T77" s="1473"/>
      <c r="U77" s="1473"/>
      <c r="V77" s="1473"/>
      <c r="W77" s="1473"/>
      <c r="X77" s="1473"/>
      <c r="Y77" s="1473"/>
      <c r="Z77" s="1473"/>
    </row>
    <row r="78" spans="1:26">
      <c r="A78" s="1473"/>
      <c r="B78" s="1473"/>
      <c r="C78" s="1473"/>
      <c r="D78" s="1473"/>
      <c r="E78" s="1473"/>
      <c r="F78" s="1473"/>
      <c r="G78" s="1473"/>
      <c r="H78" s="1473"/>
      <c r="I78" s="1473"/>
      <c r="J78" s="1473"/>
      <c r="K78" s="1473"/>
      <c r="L78" s="1473"/>
      <c r="M78" s="1473"/>
      <c r="N78" s="1473"/>
      <c r="O78" s="1473"/>
      <c r="P78" s="1473"/>
      <c r="Q78" s="1473"/>
      <c r="R78" s="1473"/>
      <c r="S78" s="1473"/>
      <c r="T78" s="1473"/>
      <c r="U78" s="1473"/>
      <c r="V78" s="1473"/>
      <c r="W78" s="1473"/>
      <c r="X78" s="1473"/>
      <c r="Y78" s="1473"/>
      <c r="Z78" s="1473"/>
    </row>
    <row r="79" spans="1:26">
      <c r="A79" s="1473"/>
      <c r="B79" s="1473"/>
      <c r="C79" s="1473"/>
      <c r="D79" s="1473"/>
      <c r="E79" s="1473"/>
      <c r="F79" s="1473"/>
      <c r="G79" s="1473"/>
      <c r="H79" s="1473"/>
      <c r="I79" s="1473"/>
      <c r="J79" s="1473"/>
      <c r="K79" s="1473"/>
      <c r="L79" s="1473"/>
      <c r="M79" s="1473"/>
      <c r="N79" s="1473"/>
      <c r="O79" s="1473"/>
      <c r="P79" s="1473"/>
      <c r="Q79" s="1473"/>
      <c r="R79" s="1473"/>
      <c r="S79" s="1473"/>
      <c r="T79" s="1473"/>
      <c r="U79" s="1473"/>
      <c r="V79" s="1473"/>
      <c r="W79" s="1473"/>
      <c r="X79" s="1473"/>
      <c r="Y79" s="1473"/>
      <c r="Z79" s="1473"/>
    </row>
    <row r="80" spans="1:26">
      <c r="A80" s="1473"/>
      <c r="B80" s="1473"/>
      <c r="C80" s="1473"/>
      <c r="D80" s="1473"/>
      <c r="E80" s="1473"/>
      <c r="F80" s="1473"/>
      <c r="G80" s="1473"/>
      <c r="H80" s="1473"/>
      <c r="I80" s="1473"/>
      <c r="J80" s="1473"/>
      <c r="K80" s="1473"/>
      <c r="L80" s="1473"/>
      <c r="M80" s="1473"/>
      <c r="N80" s="1473"/>
      <c r="O80" s="1473"/>
      <c r="P80" s="1473"/>
      <c r="Q80" s="1473"/>
      <c r="R80" s="1473"/>
      <c r="S80" s="1473"/>
      <c r="T80" s="1473"/>
      <c r="U80" s="1473"/>
      <c r="V80" s="1473"/>
      <c r="W80" s="1473"/>
      <c r="X80" s="1473"/>
      <c r="Y80" s="1473"/>
      <c r="Z80" s="1473"/>
    </row>
    <row r="81" spans="1:26">
      <c r="A81" s="1473"/>
      <c r="B81" s="1473"/>
      <c r="C81" s="1473"/>
      <c r="D81" s="1473"/>
      <c r="E81" s="1473"/>
      <c r="F81" s="1473"/>
      <c r="G81" s="1473"/>
      <c r="H81" s="1473"/>
      <c r="I81" s="1473"/>
      <c r="J81" s="1473"/>
      <c r="K81" s="1473"/>
      <c r="L81" s="1473"/>
      <c r="M81" s="1473"/>
      <c r="N81" s="1473"/>
      <c r="O81" s="1473"/>
      <c r="P81" s="1473"/>
      <c r="Q81" s="1473"/>
      <c r="R81" s="1473"/>
      <c r="S81" s="1473"/>
      <c r="T81" s="1473"/>
      <c r="U81" s="1473"/>
      <c r="V81" s="1473"/>
      <c r="W81" s="1473"/>
      <c r="X81" s="1473"/>
      <c r="Y81" s="1473"/>
      <c r="Z81" s="1473"/>
    </row>
    <row r="82" spans="1:26">
      <c r="A82" s="1473"/>
      <c r="B82" s="1473"/>
      <c r="C82" s="1473"/>
      <c r="D82" s="1473"/>
      <c r="E82" s="1473"/>
      <c r="F82" s="1473"/>
      <c r="G82" s="1473"/>
      <c r="H82" s="1473"/>
      <c r="I82" s="1473"/>
      <c r="J82" s="1473"/>
      <c r="K82" s="1473"/>
      <c r="L82" s="1473"/>
      <c r="M82" s="1473"/>
      <c r="N82" s="1473"/>
      <c r="O82" s="1473"/>
      <c r="P82" s="1473"/>
      <c r="Q82" s="1473"/>
      <c r="R82" s="1473"/>
      <c r="S82" s="1473"/>
      <c r="T82" s="1473"/>
      <c r="U82" s="1473"/>
      <c r="V82" s="1473"/>
      <c r="W82" s="1473"/>
      <c r="X82" s="1473"/>
      <c r="Y82" s="1473"/>
      <c r="Z82" s="1473"/>
    </row>
    <row r="83" spans="1:26">
      <c r="A83" s="1473"/>
      <c r="B83" s="1473"/>
      <c r="C83" s="1473"/>
      <c r="D83" s="1473"/>
      <c r="E83" s="1473"/>
      <c r="F83" s="1473"/>
      <c r="G83" s="1473"/>
      <c r="H83" s="1473"/>
      <c r="I83" s="1473"/>
      <c r="J83" s="1473"/>
      <c r="K83" s="1473"/>
      <c r="L83" s="1473"/>
      <c r="M83" s="1473"/>
      <c r="N83" s="1473"/>
      <c r="O83" s="1473"/>
      <c r="P83" s="1473"/>
      <c r="Q83" s="1473"/>
      <c r="R83" s="1473"/>
      <c r="S83" s="1473"/>
      <c r="T83" s="1473"/>
      <c r="U83" s="1473"/>
      <c r="V83" s="1473"/>
      <c r="W83" s="1473"/>
      <c r="X83" s="1473"/>
      <c r="Y83" s="1473"/>
      <c r="Z83" s="1473"/>
    </row>
    <row r="84" spans="1:26">
      <c r="A84" s="1473"/>
      <c r="B84" s="1473"/>
      <c r="C84" s="1473"/>
      <c r="D84" s="1473"/>
      <c r="E84" s="1473"/>
      <c r="F84" s="1473"/>
      <c r="G84" s="1473"/>
      <c r="H84" s="1473"/>
      <c r="I84" s="1473"/>
      <c r="J84" s="1473"/>
      <c r="K84" s="1473"/>
      <c r="L84" s="1473"/>
      <c r="M84" s="1473"/>
      <c r="N84" s="1473"/>
      <c r="O84" s="1473"/>
      <c r="P84" s="1473"/>
      <c r="Q84" s="1473"/>
      <c r="R84" s="1473"/>
      <c r="S84" s="1473"/>
      <c r="T84" s="1473"/>
      <c r="U84" s="1473"/>
      <c r="V84" s="1473"/>
      <c r="W84" s="1473"/>
      <c r="X84" s="1473"/>
      <c r="Y84" s="1473"/>
      <c r="Z84" s="1473"/>
    </row>
    <row r="85" spans="1:26">
      <c r="A85" s="1473"/>
      <c r="B85" s="1473"/>
      <c r="C85" s="1473"/>
      <c r="D85" s="1473"/>
      <c r="E85" s="1473"/>
      <c r="F85" s="1473"/>
      <c r="G85" s="1473"/>
      <c r="H85" s="1473"/>
      <c r="I85" s="1473"/>
      <c r="J85" s="1473"/>
      <c r="K85" s="1473"/>
      <c r="L85" s="1473"/>
      <c r="M85" s="1473"/>
      <c r="N85" s="1473"/>
      <c r="O85" s="1473"/>
      <c r="P85" s="1473"/>
      <c r="Q85" s="1473"/>
      <c r="R85" s="1473"/>
      <c r="S85" s="1473"/>
      <c r="T85" s="1473"/>
      <c r="U85" s="1473"/>
      <c r="V85" s="1473"/>
      <c r="W85" s="1473"/>
      <c r="X85" s="1473"/>
      <c r="Y85" s="1473"/>
      <c r="Z85" s="1473"/>
    </row>
    <row r="86" spans="1:26">
      <c r="A86" s="1473"/>
      <c r="B86" s="1473"/>
      <c r="C86" s="1473"/>
      <c r="D86" s="1473"/>
      <c r="E86" s="1473"/>
      <c r="F86" s="1473"/>
      <c r="G86" s="1473"/>
      <c r="H86" s="1473"/>
      <c r="I86" s="1473"/>
      <c r="J86" s="1473"/>
      <c r="K86" s="1473"/>
      <c r="L86" s="1473"/>
      <c r="M86" s="1473"/>
      <c r="N86" s="1473"/>
      <c r="O86" s="1473"/>
      <c r="P86" s="1473"/>
      <c r="Q86" s="1473"/>
      <c r="R86" s="1473"/>
      <c r="S86" s="1473"/>
      <c r="T86" s="1473"/>
      <c r="U86" s="1473"/>
      <c r="V86" s="1473"/>
      <c r="W86" s="1473"/>
      <c r="X86" s="1473"/>
      <c r="Y86" s="1473"/>
      <c r="Z86" s="1473"/>
    </row>
    <row r="87" spans="1:26">
      <c r="A87" s="1473"/>
      <c r="B87" s="1473"/>
      <c r="C87" s="1473"/>
      <c r="D87" s="1473"/>
      <c r="E87" s="1473"/>
      <c r="F87" s="1473"/>
      <c r="G87" s="1473"/>
      <c r="H87" s="1473"/>
      <c r="I87" s="1473"/>
      <c r="J87" s="1473"/>
      <c r="K87" s="1473"/>
      <c r="L87" s="1473"/>
      <c r="M87" s="1473"/>
      <c r="N87" s="1473"/>
      <c r="O87" s="1473"/>
      <c r="P87" s="1473"/>
      <c r="Q87" s="1473"/>
      <c r="R87" s="1473"/>
      <c r="S87" s="1473"/>
      <c r="T87" s="1473"/>
      <c r="U87" s="1473"/>
      <c r="V87" s="1473"/>
      <c r="W87" s="1473"/>
      <c r="X87" s="1473"/>
      <c r="Y87" s="1473"/>
      <c r="Z87" s="1473"/>
    </row>
    <row r="88" spans="1:26">
      <c r="A88" s="1473"/>
      <c r="B88" s="1473"/>
      <c r="C88" s="1473"/>
      <c r="D88" s="1473"/>
      <c r="E88" s="1473"/>
      <c r="F88" s="1473"/>
      <c r="G88" s="1473"/>
      <c r="H88" s="1473"/>
      <c r="I88" s="1473"/>
      <c r="J88" s="1473"/>
      <c r="K88" s="1473"/>
      <c r="L88" s="1473"/>
      <c r="M88" s="1473"/>
      <c r="N88" s="1473"/>
      <c r="O88" s="1473"/>
      <c r="P88" s="1473"/>
      <c r="Q88" s="1473"/>
      <c r="R88" s="1473"/>
      <c r="S88" s="1473"/>
      <c r="T88" s="1473"/>
      <c r="U88" s="1473"/>
      <c r="V88" s="1473"/>
      <c r="W88" s="1473"/>
      <c r="X88" s="1473"/>
      <c r="Y88" s="1473"/>
      <c r="Z88" s="1473"/>
    </row>
    <row r="89" spans="1:26">
      <c r="A89" s="1473"/>
      <c r="B89" s="1473"/>
      <c r="C89" s="1473"/>
      <c r="D89" s="1473"/>
      <c r="E89" s="1473"/>
      <c r="F89" s="1473"/>
      <c r="G89" s="1473"/>
      <c r="H89" s="1473"/>
      <c r="I89" s="1473"/>
      <c r="J89" s="1473"/>
      <c r="K89" s="1473"/>
      <c r="L89" s="1473"/>
      <c r="M89" s="1473"/>
      <c r="N89" s="1473"/>
      <c r="O89" s="1473"/>
      <c r="P89" s="1473"/>
      <c r="Q89" s="1473"/>
      <c r="R89" s="1473"/>
      <c r="S89" s="1473"/>
      <c r="T89" s="1473"/>
      <c r="U89" s="1473"/>
      <c r="V89" s="1473"/>
      <c r="W89" s="1473"/>
      <c r="X89" s="1473"/>
      <c r="Y89" s="1473"/>
      <c r="Z89" s="1473"/>
    </row>
    <row r="90" spans="1:26">
      <c r="A90" s="1473"/>
      <c r="B90" s="1473"/>
      <c r="C90" s="1473"/>
      <c r="D90" s="1473"/>
      <c r="E90" s="1473"/>
      <c r="F90" s="1473"/>
      <c r="G90" s="1473"/>
      <c r="H90" s="1473"/>
      <c r="I90" s="1473"/>
      <c r="J90" s="1473"/>
      <c r="K90" s="1473"/>
      <c r="L90" s="1473"/>
      <c r="M90" s="1473"/>
      <c r="N90" s="1473"/>
      <c r="O90" s="1473"/>
      <c r="P90" s="1473"/>
      <c r="Q90" s="1473"/>
      <c r="R90" s="1473"/>
      <c r="S90" s="1473"/>
      <c r="T90" s="1473"/>
      <c r="U90" s="1473"/>
      <c r="V90" s="1473"/>
      <c r="W90" s="1473"/>
      <c r="X90" s="1473"/>
      <c r="Y90" s="1473"/>
      <c r="Z90" s="1473"/>
    </row>
    <row r="91" spans="1:26">
      <c r="A91" s="1473"/>
      <c r="B91" s="1473"/>
      <c r="C91" s="1473"/>
      <c r="D91" s="1473"/>
      <c r="E91" s="1473"/>
      <c r="F91" s="1473"/>
      <c r="G91" s="1473"/>
      <c r="H91" s="1473"/>
      <c r="I91" s="1473"/>
      <c r="J91" s="1473"/>
      <c r="K91" s="1473"/>
      <c r="L91" s="1473"/>
      <c r="M91" s="1473"/>
      <c r="N91" s="1473"/>
      <c r="O91" s="1473"/>
      <c r="P91" s="1473"/>
      <c r="Q91" s="1473"/>
      <c r="R91" s="1473"/>
      <c r="S91" s="1473"/>
      <c r="T91" s="1473"/>
      <c r="U91" s="1473"/>
      <c r="V91" s="1473"/>
      <c r="W91" s="1473"/>
      <c r="X91" s="1473"/>
      <c r="Y91" s="1473"/>
      <c r="Z91" s="1473"/>
    </row>
    <row r="92" spans="1:26">
      <c r="A92" s="1473"/>
      <c r="B92" s="1473"/>
      <c r="C92" s="1473"/>
      <c r="D92" s="1473"/>
      <c r="E92" s="1473"/>
      <c r="F92" s="1473"/>
      <c r="G92" s="1473"/>
      <c r="H92" s="1473"/>
      <c r="I92" s="1473"/>
      <c r="J92" s="1473"/>
      <c r="K92" s="1473"/>
      <c r="L92" s="1473"/>
      <c r="M92" s="1473"/>
      <c r="N92" s="1473"/>
      <c r="O92" s="1473"/>
      <c r="P92" s="1473"/>
      <c r="Q92" s="1473"/>
      <c r="R92" s="1473"/>
      <c r="S92" s="1473"/>
      <c r="T92" s="1473"/>
      <c r="U92" s="1473"/>
      <c r="V92" s="1473"/>
      <c r="W92" s="1473"/>
      <c r="X92" s="1473"/>
      <c r="Y92" s="1473"/>
      <c r="Z92" s="1473"/>
    </row>
    <row r="93" spans="1:26">
      <c r="A93" s="1473"/>
      <c r="B93" s="1473"/>
      <c r="C93" s="1473"/>
      <c r="D93" s="1473"/>
      <c r="E93" s="1473"/>
      <c r="F93" s="1473"/>
      <c r="G93" s="1473"/>
      <c r="H93" s="1473"/>
      <c r="I93" s="1473"/>
      <c r="J93" s="1473"/>
      <c r="K93" s="1473"/>
      <c r="L93" s="1473"/>
      <c r="M93" s="1473"/>
      <c r="N93" s="1473"/>
      <c r="O93" s="1473"/>
      <c r="P93" s="1473"/>
      <c r="Q93" s="1473"/>
      <c r="R93" s="1473"/>
      <c r="S93" s="1473"/>
      <c r="T93" s="1473"/>
      <c r="U93" s="1473"/>
      <c r="V93" s="1473"/>
      <c r="W93" s="1473"/>
      <c r="X93" s="1473"/>
      <c r="Y93" s="1473"/>
      <c r="Z93" s="1473"/>
    </row>
    <row r="94" spans="1:26">
      <c r="A94" s="1473"/>
      <c r="B94" s="1473"/>
      <c r="C94" s="1473"/>
      <c r="D94" s="1473"/>
      <c r="E94" s="1473"/>
      <c r="F94" s="1473"/>
      <c r="G94" s="1473"/>
      <c r="H94" s="1473"/>
      <c r="I94" s="1473"/>
      <c r="J94" s="1473"/>
      <c r="K94" s="1473"/>
      <c r="L94" s="1473"/>
      <c r="M94" s="1473"/>
      <c r="N94" s="1473"/>
      <c r="O94" s="1473"/>
      <c r="P94" s="1473"/>
      <c r="Q94" s="1473"/>
      <c r="R94" s="1473"/>
      <c r="S94" s="1473"/>
      <c r="T94" s="1473"/>
      <c r="U94" s="1473"/>
      <c r="V94" s="1473"/>
      <c r="W94" s="1473"/>
      <c r="X94" s="1473"/>
      <c r="Y94" s="1473"/>
      <c r="Z94" s="1473"/>
    </row>
    <row r="95" spans="1:26">
      <c r="A95" s="1473"/>
      <c r="B95" s="1473"/>
      <c r="C95" s="1473"/>
      <c r="D95" s="1473"/>
      <c r="E95" s="1473"/>
      <c r="F95" s="1473"/>
      <c r="G95" s="1473"/>
      <c r="H95" s="1473"/>
      <c r="I95" s="1473"/>
      <c r="J95" s="1473"/>
      <c r="K95" s="1473"/>
      <c r="L95" s="1473"/>
      <c r="M95" s="1473"/>
      <c r="N95" s="1473"/>
      <c r="O95" s="1473"/>
      <c r="P95" s="1473"/>
      <c r="Q95" s="1473"/>
      <c r="R95" s="1473"/>
      <c r="S95" s="1473"/>
      <c r="T95" s="1473"/>
      <c r="U95" s="1473"/>
      <c r="V95" s="1473"/>
      <c r="W95" s="1473"/>
      <c r="X95" s="1473"/>
      <c r="Y95" s="1473"/>
      <c r="Z95" s="1473"/>
    </row>
    <row r="96" spans="1:26">
      <c r="A96" s="1473"/>
      <c r="B96" s="1473"/>
      <c r="C96" s="1473"/>
      <c r="D96" s="1473"/>
      <c r="E96" s="1473"/>
      <c r="F96" s="1473"/>
      <c r="G96" s="1473"/>
      <c r="H96" s="1473"/>
      <c r="I96" s="1473"/>
      <c r="J96" s="1473"/>
      <c r="K96" s="1473"/>
      <c r="L96" s="1473"/>
      <c r="M96" s="1473"/>
      <c r="N96" s="1473"/>
      <c r="O96" s="1473"/>
      <c r="P96" s="1473"/>
      <c r="Q96" s="1473"/>
      <c r="R96" s="1473"/>
      <c r="S96" s="1473"/>
      <c r="T96" s="1473"/>
      <c r="U96" s="1473"/>
      <c r="V96" s="1473"/>
      <c r="W96" s="1473"/>
      <c r="X96" s="1473"/>
      <c r="Y96" s="1473"/>
      <c r="Z96" s="1473"/>
    </row>
    <row r="97" spans="1:26">
      <c r="A97" s="1473"/>
      <c r="B97" s="1473"/>
      <c r="C97" s="1473"/>
      <c r="D97" s="1473"/>
      <c r="E97" s="1473"/>
      <c r="F97" s="1473"/>
      <c r="G97" s="1473"/>
      <c r="H97" s="1473"/>
      <c r="I97" s="1473"/>
      <c r="J97" s="1473"/>
      <c r="K97" s="1473"/>
      <c r="L97" s="1473"/>
      <c r="M97" s="1473"/>
      <c r="N97" s="1473"/>
      <c r="O97" s="1473"/>
      <c r="P97" s="1473"/>
      <c r="Q97" s="1473"/>
      <c r="R97" s="1473"/>
      <c r="S97" s="1473"/>
      <c r="T97" s="1473"/>
      <c r="U97" s="1473"/>
      <c r="V97" s="1473"/>
      <c r="W97" s="1473"/>
      <c r="X97" s="1473"/>
      <c r="Y97" s="1473"/>
      <c r="Z97" s="1473"/>
    </row>
    <row r="98" spans="1:26">
      <c r="A98" s="1473"/>
      <c r="B98" s="1473"/>
      <c r="C98" s="1473"/>
      <c r="D98" s="1473"/>
      <c r="E98" s="1473"/>
      <c r="F98" s="1473"/>
      <c r="G98" s="1473"/>
      <c r="H98" s="1473"/>
      <c r="I98" s="1473"/>
      <c r="J98" s="1473"/>
      <c r="K98" s="1473"/>
      <c r="L98" s="1473"/>
      <c r="M98" s="1473"/>
      <c r="N98" s="1473"/>
      <c r="O98" s="1473"/>
      <c r="P98" s="1473"/>
      <c r="Q98" s="1473"/>
      <c r="R98" s="1473"/>
      <c r="S98" s="1473"/>
      <c r="T98" s="1473"/>
      <c r="U98" s="1473"/>
      <c r="V98" s="1473"/>
      <c r="W98" s="1473"/>
      <c r="X98" s="1473"/>
      <c r="Y98" s="1473"/>
      <c r="Z98" s="1473"/>
    </row>
    <row r="99" spans="1:26">
      <c r="A99" s="1473"/>
      <c r="B99" s="1473"/>
      <c r="C99" s="1473"/>
      <c r="D99" s="1473"/>
      <c r="E99" s="1473"/>
      <c r="F99" s="1473"/>
      <c r="G99" s="1473"/>
      <c r="H99" s="1473"/>
      <c r="I99" s="1473"/>
      <c r="J99" s="1473"/>
      <c r="K99" s="1473"/>
      <c r="L99" s="1473"/>
      <c r="M99" s="1473"/>
      <c r="N99" s="1473"/>
      <c r="O99" s="1473"/>
      <c r="P99" s="1473"/>
      <c r="Q99" s="1473"/>
      <c r="R99" s="1473"/>
      <c r="S99" s="1473"/>
      <c r="T99" s="1473"/>
      <c r="U99" s="1473"/>
      <c r="V99" s="1473"/>
      <c r="W99" s="1473"/>
      <c r="X99" s="1473"/>
      <c r="Y99" s="1473"/>
      <c r="Z99" s="1473"/>
    </row>
    <row r="100" spans="1:26">
      <c r="A100" s="1473"/>
      <c r="B100" s="1473"/>
      <c r="C100" s="1473"/>
      <c r="D100" s="1473"/>
      <c r="E100" s="1473"/>
      <c r="F100" s="1473"/>
      <c r="G100" s="1473"/>
      <c r="H100" s="1473"/>
      <c r="I100" s="1473"/>
      <c r="J100" s="1473"/>
      <c r="K100" s="1473"/>
      <c r="L100" s="1473"/>
      <c r="M100" s="1473"/>
      <c r="N100" s="1473"/>
      <c r="O100" s="1473"/>
      <c r="P100" s="1473"/>
      <c r="Q100" s="1473"/>
      <c r="R100" s="1473"/>
      <c r="S100" s="1473"/>
      <c r="T100" s="1473"/>
      <c r="U100" s="1473"/>
      <c r="V100" s="1473"/>
      <c r="W100" s="1473"/>
      <c r="X100" s="1473"/>
      <c r="Y100" s="1473"/>
      <c r="Z100" s="1473"/>
    </row>
  </sheetData>
  <mergeCells count="4">
    <mergeCell ref="D59:E59"/>
    <mergeCell ref="F7:G7"/>
    <mergeCell ref="F26:F28"/>
    <mergeCell ref="G26:G28"/>
  </mergeCells>
  <conditionalFormatting sqref="C15:G16 C18:H19">
    <cfRule type="containsErrors" dxfId="219" priority="23">
      <formula>ISERROR(C15)</formula>
    </cfRule>
  </conditionalFormatting>
  <conditionalFormatting sqref="H15">
    <cfRule type="containsErrors" dxfId="218" priority="22">
      <formula>ISERROR(H15)</formula>
    </cfRule>
  </conditionalFormatting>
  <conditionalFormatting sqref="I16">
    <cfRule type="containsErrors" dxfId="217" priority="21">
      <formula>ISERROR(I16)</formula>
    </cfRule>
  </conditionalFormatting>
  <conditionalFormatting sqref="C27:D28 C31:D31 C34:E35 C37:E37 C42:H43 C45:G47">
    <cfRule type="containsErrors" dxfId="216" priority="24">
      <formula>ISERROR(C27)</formula>
    </cfRule>
  </conditionalFormatting>
  <conditionalFormatting sqref="C51:C53 C55 C57 C59 C56:F56">
    <cfRule type="containsErrors" dxfId="215" priority="19">
      <formula>ISERROR(C51)</formula>
    </cfRule>
  </conditionalFormatting>
  <conditionalFormatting sqref="D52">
    <cfRule type="containsErrors" dxfId="214" priority="18">
      <formula>ISERROR(D52)</formula>
    </cfRule>
  </conditionalFormatting>
  <conditionalFormatting sqref="C29:E29">
    <cfRule type="containsErrors" dxfId="213" priority="7">
      <formula>ISERROR(C29)</formula>
    </cfRule>
  </conditionalFormatting>
  <conditionalFormatting sqref="E31 E28">
    <cfRule type="containsErrors" dxfId="212" priority="6">
      <formula>ISERROR(E28)</formula>
    </cfRule>
  </conditionalFormatting>
  <conditionalFormatting sqref="E27">
    <cfRule type="cellIs" dxfId="211" priority="5" operator="equal">
      <formula>0</formula>
    </cfRule>
  </conditionalFormatting>
  <conditionalFormatting sqref="C34:E34">
    <cfRule type="cellIs" dxfId="210" priority="4" operator="equal">
      <formula>"0"</formula>
    </cfRule>
  </conditionalFormatting>
  <conditionalFormatting sqref="C35:E35">
    <cfRule type="cellIs" dxfId="209" priority="3" operator="equal">
      <formula>0</formula>
    </cfRule>
  </conditionalFormatting>
  <conditionalFormatting sqref="E4">
    <cfRule type="cellIs" dxfId="208" priority="2" operator="equal">
      <formula>0</formula>
    </cfRule>
  </conditionalFormatting>
  <conditionalFormatting sqref="G29">
    <cfRule type="containsErrors" dxfId="207" priority="25">
      <formula>ISERROR(G29)</formula>
    </cfRule>
  </conditionalFormatting>
  <dataValidations count="1">
    <dataValidation type="custom" allowBlank="1" showInputMessage="1" showErrorMessage="1" errorTitle="Falsche Eingabe" error="Bitte nur Zahlen gleich oder größer 1 eingeben!" sqref="D11">
      <formula1>AND(D11=INT(D11),D11&gt;0)</formula1>
    </dataValidation>
  </dataValidations>
  <printOptions horizontalCentered="1" verticalCentered="1"/>
  <pageMargins left="0.51181102362204722" right="0.51181102362204722" top="0.59055118110236227" bottom="0.59055118110236227" header="0.31496062992125984" footer="0.31496062992125984"/>
  <pageSetup paperSize="9" scale="67" orientation="landscape" r:id="rId1"/>
  <extLst>
    <ext xmlns:x14="http://schemas.microsoft.com/office/spreadsheetml/2009/9/main" uri="{78C0D931-6437-407d-A8EE-F0AAD7539E65}">
      <x14:conditionalFormattings>
        <x14:conditionalFormatting xmlns:xm="http://schemas.microsoft.com/office/excel/2006/main">
          <x14:cfRule type="expression" priority="13" id="{4757E8C5-E299-47B2-AA94-6342E282FCE3}">
            <xm:f>AND('Copy &amp; Paste'!I12&gt;0,'Copy &amp; Paste'!B14="ja")</xm:f>
            <x14:dxf>
              <font>
                <color rgb="FFDDD9C4"/>
              </font>
            </x14:dxf>
          </x14:cfRule>
          <xm:sqref>B25</xm:sqref>
        </x14:conditionalFormatting>
        <x14:conditionalFormatting xmlns:xm="http://schemas.microsoft.com/office/excel/2006/main">
          <x14:cfRule type="expression" priority="12" id="{A02DC976-C60F-4F07-9D35-007F344A7D29}">
            <xm:f>AND('Copy &amp; Paste'!$I$12&gt;0,'Copy &amp; Paste'!B14="ja")</xm:f>
            <x14:dxf>
              <font>
                <color rgb="FFDDD9C4"/>
              </font>
            </x14:dxf>
          </x14:cfRule>
          <xm:sqref>B33:E35</xm:sqref>
        </x14:conditionalFormatting>
        <x14:conditionalFormatting xmlns:xm="http://schemas.microsoft.com/office/excel/2006/main">
          <x14:cfRule type="expression" priority="10" id="{128172A8-848C-4924-B6E0-FB2BF45EF25F}">
            <xm:f>AND('Copy &amp; Paste'!I12&gt;0,'Copy &amp; Paste'!B14="ja")</xm:f>
            <x14:dxf>
              <font>
                <color rgb="FFDDD9C4"/>
              </font>
            </x14:dxf>
          </x14:cfRule>
          <xm:sqref>B34:E35</xm:sqref>
        </x14:conditionalFormatting>
        <x14:conditionalFormatting xmlns:xm="http://schemas.microsoft.com/office/excel/2006/main">
          <x14:cfRule type="expression" priority="9" id="{C1F4E346-5FE2-4E46-8238-7543897C2B37}">
            <xm:f>AND('Copy &amp; Paste'!I12&gt;0,'Copy &amp; Paste'!B14="ja")</xm:f>
            <x14:dxf>
              <font>
                <color rgb="FFDDD9C4"/>
              </font>
            </x14:dxf>
          </x14:cfRule>
          <xm:sqref>B35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Q226"/>
  <sheetViews>
    <sheetView tabSelected="1" zoomScaleNormal="100" workbookViewId="0">
      <selection activeCell="B5" sqref="B5:D5"/>
    </sheetView>
  </sheetViews>
  <sheetFormatPr baseColWidth="10" defaultColWidth="11.42578125" defaultRowHeight="12.75"/>
  <cols>
    <col min="1" max="1" width="3.5703125" style="1624" bestFit="1" customWidth="1"/>
    <col min="2" max="2" width="31.85546875" style="400" customWidth="1"/>
    <col min="3" max="3" width="15.5703125" style="400" customWidth="1"/>
    <col min="4" max="7" width="14.7109375" style="400" customWidth="1"/>
    <col min="8" max="8" width="17.28515625" style="400" customWidth="1"/>
    <col min="9" max="9" width="19.85546875" style="400" customWidth="1"/>
    <col min="10" max="10" width="19" style="400" customWidth="1"/>
    <col min="11" max="11" width="18.5703125" style="400" customWidth="1"/>
    <col min="12" max="12" width="15.140625" style="2278" customWidth="1"/>
    <col min="13" max="13" width="14.7109375" style="400" customWidth="1"/>
    <col min="14" max="14" width="11.42578125" style="400"/>
    <col min="15" max="15" width="33.42578125" style="400" customWidth="1"/>
    <col min="16" max="16" width="20" style="400" customWidth="1"/>
    <col min="17" max="17" width="24.140625" style="400" customWidth="1"/>
    <col min="18" max="16384" width="11.42578125" style="400"/>
  </cols>
  <sheetData>
    <row r="1" spans="1:15" ht="20.25" customHeight="1">
      <c r="A1" s="2276"/>
      <c r="B1" s="4173" t="s">
        <v>784</v>
      </c>
      <c r="C1" s="4173"/>
      <c r="D1" s="4173"/>
      <c r="E1" s="4173"/>
      <c r="F1" s="4173"/>
      <c r="G1" s="4173"/>
      <c r="H1" s="4173"/>
      <c r="I1" s="529"/>
      <c r="J1" s="2277" t="s">
        <v>1531</v>
      </c>
    </row>
    <row r="2" spans="1:15" ht="20.25" customHeight="1">
      <c r="B2" s="4173" t="s">
        <v>2437</v>
      </c>
      <c r="C2" s="4173"/>
      <c r="D2" s="4173"/>
      <c r="E2" s="4173"/>
      <c r="F2" s="4173"/>
      <c r="G2" s="4173"/>
      <c r="H2" s="4173"/>
    </row>
    <row r="3" spans="1:15" ht="20.25" customHeight="1"/>
    <row r="4" spans="1:15" ht="9.75" customHeight="1">
      <c r="A4" s="1638"/>
      <c r="B4" s="1560" t="s">
        <v>11</v>
      </c>
      <c r="C4" s="2279"/>
      <c r="D4" s="2280"/>
      <c r="E4" s="1560" t="s">
        <v>12</v>
      </c>
      <c r="F4" s="2281"/>
      <c r="G4" s="2281"/>
      <c r="H4" s="2282"/>
      <c r="J4" s="2283"/>
      <c r="L4" s="2284"/>
    </row>
    <row r="5" spans="1:15" ht="15.75" customHeight="1">
      <c r="A5" s="1638"/>
      <c r="B5" s="4179"/>
      <c r="C5" s="4180"/>
      <c r="D5" s="4181"/>
      <c r="E5" s="4179"/>
      <c r="F5" s="4180"/>
      <c r="G5" s="4180"/>
      <c r="H5" s="4181"/>
      <c r="J5" s="2285"/>
      <c r="K5" s="1477" t="s">
        <v>1147</v>
      </c>
      <c r="L5" s="2284"/>
    </row>
    <row r="6" spans="1:15" ht="15.75" customHeight="1">
      <c r="A6" s="1638"/>
      <c r="B6" s="4182"/>
      <c r="C6" s="4183"/>
      <c r="D6" s="4184"/>
      <c r="E6" s="4185"/>
      <c r="F6" s="4186"/>
      <c r="G6" s="4186"/>
      <c r="H6" s="4187"/>
      <c r="J6" s="2286"/>
      <c r="K6" s="1477" t="s">
        <v>1192</v>
      </c>
      <c r="L6" s="2284"/>
      <c r="M6" s="2287"/>
    </row>
    <row r="7" spans="1:15" ht="15.75" customHeight="1">
      <c r="A7" s="1638"/>
      <c r="B7" s="4188"/>
      <c r="C7" s="4189"/>
      <c r="D7" s="4190"/>
      <c r="E7" s="4188"/>
      <c r="F7" s="4189"/>
      <c r="G7" s="4189"/>
      <c r="H7" s="4190"/>
      <c r="J7" s="1476"/>
      <c r="K7" s="1477" t="s">
        <v>1193</v>
      </c>
      <c r="L7" s="2284"/>
      <c r="O7" s="2288"/>
    </row>
    <row r="8" spans="1:15" ht="15.75" customHeight="1">
      <c r="A8" s="1638"/>
      <c r="B8" s="2289"/>
      <c r="C8" s="4191"/>
      <c r="D8" s="4192"/>
      <c r="E8" s="2290"/>
      <c r="F8" s="4188"/>
      <c r="G8" s="4189"/>
      <c r="H8" s="4190"/>
      <c r="J8" s="2291"/>
      <c r="K8" s="1477" t="s">
        <v>1243</v>
      </c>
      <c r="L8" s="2284"/>
    </row>
    <row r="9" spans="1:15" ht="6.75" customHeight="1">
      <c r="A9" s="1638"/>
      <c r="B9" s="1624"/>
      <c r="J9" s="2284"/>
      <c r="L9" s="2284"/>
    </row>
    <row r="10" spans="1:15" ht="15" customHeight="1">
      <c r="A10" s="1638"/>
      <c r="B10" s="2292" t="s">
        <v>808</v>
      </c>
      <c r="C10" s="2293" t="s">
        <v>881</v>
      </c>
      <c r="E10" s="2294" t="s">
        <v>13</v>
      </c>
      <c r="F10" s="1574"/>
      <c r="G10" s="4174"/>
      <c r="H10" s="4175"/>
      <c r="I10" s="2295" t="s">
        <v>1260</v>
      </c>
      <c r="J10" s="2296" t="s">
        <v>1261</v>
      </c>
      <c r="L10" s="2284"/>
    </row>
    <row r="11" spans="1:15" ht="15" customHeight="1">
      <c r="A11" s="1638"/>
      <c r="B11" s="2724" t="s">
        <v>915</v>
      </c>
      <c r="C11" s="2725" t="s">
        <v>1599</v>
      </c>
      <c r="D11" s="2671"/>
      <c r="E11" s="2293" t="s">
        <v>14</v>
      </c>
      <c r="F11" s="1574"/>
      <c r="G11" s="406"/>
      <c r="H11" s="2297"/>
      <c r="I11" s="2298"/>
      <c r="J11" s="2298"/>
      <c r="L11" s="2284"/>
    </row>
    <row r="12" spans="1:15" ht="15" customHeight="1">
      <c r="A12" s="1638"/>
      <c r="B12" s="2669"/>
      <c r="C12" s="2672"/>
      <c r="D12" s="2307"/>
      <c r="E12" s="2293" t="s">
        <v>1320</v>
      </c>
      <c r="F12" s="1574"/>
      <c r="G12" s="406"/>
      <c r="H12" s="2297"/>
      <c r="I12" s="2298"/>
      <c r="J12" s="2299" t="s">
        <v>1399</v>
      </c>
      <c r="L12" s="2284"/>
    </row>
    <row r="13" spans="1:15" ht="15" customHeight="1">
      <c r="A13" s="1638"/>
      <c r="B13" s="2300" t="s">
        <v>915</v>
      </c>
      <c r="C13" s="1587" t="s">
        <v>914</v>
      </c>
      <c r="E13" s="2293" t="s">
        <v>15</v>
      </c>
      <c r="F13" s="1574"/>
      <c r="G13" s="4176"/>
      <c r="H13" s="4177"/>
      <c r="J13" s="2284"/>
      <c r="L13" s="2284"/>
    </row>
    <row r="14" spans="1:15" ht="15" customHeight="1">
      <c r="A14" s="1638"/>
      <c r="B14" s="2301" t="s">
        <v>915</v>
      </c>
      <c r="C14" s="2293" t="s">
        <v>16</v>
      </c>
      <c r="E14" s="401"/>
      <c r="F14" s="2302" t="s">
        <v>806</v>
      </c>
      <c r="H14" s="2303"/>
      <c r="J14" s="2284"/>
      <c r="L14" s="2284"/>
    </row>
    <row r="15" spans="1:15" ht="15" customHeight="1">
      <c r="A15" s="2304"/>
      <c r="B15" s="2305"/>
      <c r="C15" s="2306" t="s">
        <v>1196</v>
      </c>
      <c r="D15" s="1690"/>
      <c r="E15" s="2307" t="s">
        <v>883</v>
      </c>
      <c r="F15" s="1690"/>
      <c r="G15" s="1690"/>
      <c r="H15" s="2308" t="s">
        <v>915</v>
      </c>
      <c r="J15" s="2284"/>
      <c r="L15" s="2284"/>
    </row>
    <row r="16" spans="1:15" ht="21.75" thickBot="1">
      <c r="A16" s="1638"/>
      <c r="C16" s="4178" t="s">
        <v>17</v>
      </c>
      <c r="D16" s="4178"/>
      <c r="E16" s="4178"/>
      <c r="F16" s="4178"/>
      <c r="G16" s="2309"/>
      <c r="J16" s="2284"/>
      <c r="L16" s="2284"/>
    </row>
    <row r="17" spans="1:13" ht="15.75" customHeight="1" thickBot="1">
      <c r="A17" s="1638"/>
      <c r="B17" s="4209" t="s">
        <v>749</v>
      </c>
      <c r="C17" s="4210"/>
      <c r="D17" s="4210"/>
      <c r="E17" s="4210"/>
      <c r="F17" s="4211"/>
      <c r="G17" s="4204" t="s">
        <v>750</v>
      </c>
      <c r="H17" s="4205"/>
      <c r="I17" s="4220" t="s">
        <v>1191</v>
      </c>
      <c r="J17" s="2284"/>
      <c r="L17" s="2284"/>
    </row>
    <row r="18" spans="1:13" ht="15.75" thickBot="1">
      <c r="A18" s="1638"/>
      <c r="B18" s="4212" t="s">
        <v>751</v>
      </c>
      <c r="C18" s="4213"/>
      <c r="D18" s="4213"/>
      <c r="E18" s="4213"/>
      <c r="F18" s="4214"/>
      <c r="G18" s="4206" t="s">
        <v>752</v>
      </c>
      <c r="H18" s="4207"/>
      <c r="I18" s="4221"/>
      <c r="J18" s="2284"/>
      <c r="L18" s="2284"/>
    </row>
    <row r="19" spans="1:13" ht="12.75" customHeight="1">
      <c r="A19" s="1638"/>
      <c r="B19" s="2310"/>
      <c r="C19" s="2311">
        <v>2023</v>
      </c>
      <c r="D19" s="2312"/>
      <c r="E19" s="2313">
        <f>C19+1</f>
        <v>2024</v>
      </c>
      <c r="F19" s="2313" t="str">
        <f>IF(C19=2015,E19+1,"")</f>
        <v/>
      </c>
      <c r="G19" s="4218" t="s">
        <v>100</v>
      </c>
      <c r="H19" s="4219"/>
      <c r="I19" s="4226" t="e">
        <f>IF(Ergebnis!$F$80&lt;&gt;Ergebnis!$G$80,"Achtung: Ergebnis!F76 noch anpassen!","Ergebnis!F76 = OK")</f>
        <v>#VALUE!</v>
      </c>
      <c r="J19" s="2314">
        <f>F24</f>
        <v>0</v>
      </c>
      <c r="K19" s="2315">
        <f>F25</f>
        <v>0</v>
      </c>
      <c r="L19" s="2314">
        <f>F26</f>
        <v>0</v>
      </c>
      <c r="M19" s="2315">
        <f>F27</f>
        <v>0</v>
      </c>
    </row>
    <row r="20" spans="1:13" ht="12" customHeight="1" thickBot="1">
      <c r="A20" s="1638"/>
      <c r="B20" s="2316"/>
      <c r="C20" s="4215" t="s">
        <v>753</v>
      </c>
      <c r="D20" s="4216"/>
      <c r="E20" s="4216"/>
      <c r="F20" s="4217"/>
      <c r="G20" s="4228"/>
      <c r="H20" s="4229"/>
      <c r="I20" s="4227"/>
      <c r="J20" s="2317">
        <v>30.42</v>
      </c>
      <c r="K20" s="2318">
        <v>30.42</v>
      </c>
      <c r="L20" s="2317">
        <v>30.42</v>
      </c>
      <c r="M20" s="2318">
        <v>30.42</v>
      </c>
    </row>
    <row r="21" spans="1:13" ht="16.5" customHeight="1">
      <c r="A21" s="1638"/>
      <c r="B21" s="2319" t="s">
        <v>754</v>
      </c>
      <c r="C21" s="2320"/>
      <c r="D21" s="2321"/>
      <c r="E21" s="2322"/>
      <c r="F21" s="2323"/>
      <c r="G21" s="2324">
        <v>45717</v>
      </c>
      <c r="H21" s="2325"/>
      <c r="I21" s="4224" t="s">
        <v>1222</v>
      </c>
      <c r="J21" s="2317">
        <v>0</v>
      </c>
      <c r="K21" s="2318">
        <v>1064</v>
      </c>
      <c r="L21" s="2326">
        <v>1330</v>
      </c>
      <c r="M21" s="2327">
        <v>1612</v>
      </c>
    </row>
    <row r="22" spans="1:13" ht="16.5" thickBot="1">
      <c r="A22" s="1638"/>
      <c r="B22" s="2328" t="s">
        <v>755</v>
      </c>
      <c r="C22" s="2329"/>
      <c r="D22" s="2330"/>
      <c r="E22" s="2331"/>
      <c r="F22" s="2332"/>
      <c r="G22" s="2333">
        <f>EOMONTH(G21,11)</f>
        <v>46081</v>
      </c>
      <c r="H22" s="2334"/>
      <c r="I22" s="4225"/>
      <c r="J22" s="2284"/>
      <c r="L22" s="2284"/>
    </row>
    <row r="23" spans="1:13" ht="15.75">
      <c r="A23" s="1638"/>
      <c r="B23" s="2335" t="str">
        <f>IF($C$19&gt;=2017,"Pflegegrad 1","")</f>
        <v>Pflegegrad 1</v>
      </c>
      <c r="C23" s="2336"/>
      <c r="D23" s="2337"/>
      <c r="E23" s="2338"/>
      <c r="F23" s="2339"/>
      <c r="G23" s="2340" t="e">
        <f>IF(B14="nein",Ergebnis!B69,Pauschal!H19)</f>
        <v>#VALUE!</v>
      </c>
      <c r="H23" s="2341" t="str">
        <f>IF($C$19&lt;2017,"Pflegegrad 1","")</f>
        <v/>
      </c>
      <c r="I23" s="2342" t="e">
        <f>G23/F23-1</f>
        <v>#VALUE!</v>
      </c>
      <c r="J23" s="2284"/>
      <c r="L23" s="2284"/>
    </row>
    <row r="24" spans="1:13" ht="15.75">
      <c r="A24" s="1638"/>
      <c r="B24" s="2343" t="str">
        <f>IF($C$19&gt;=2017,"Pflegegrad 2","Pflegeklasse 0")</f>
        <v>Pflegegrad 2</v>
      </c>
      <c r="C24" s="2336"/>
      <c r="D24" s="2337"/>
      <c r="E24" s="2338"/>
      <c r="F24" s="2339"/>
      <c r="G24" s="2340" t="e">
        <f>IF(B14="nein",Ergebnis!C69,Pauschal!H20)</f>
        <v>#VALUE!</v>
      </c>
      <c r="H24" s="2344" t="str">
        <f>IF($C$19&lt;2017,"Pflegegrad 2","")</f>
        <v/>
      </c>
      <c r="I24" s="2342" t="e">
        <f t="shared" ref="I24:I33" si="0">G24/F24-1</f>
        <v>#VALUE!</v>
      </c>
      <c r="J24" s="2284"/>
      <c r="L24" s="2284"/>
    </row>
    <row r="25" spans="1:13" ht="15.75">
      <c r="A25" s="1638"/>
      <c r="B25" s="2343" t="str">
        <f>IF($C$19&gt;=2017,"Pflegegrad 3","Pflegeklasse I")</f>
        <v>Pflegegrad 3</v>
      </c>
      <c r="C25" s="2345"/>
      <c r="D25" s="2346"/>
      <c r="E25" s="2347"/>
      <c r="F25" s="2348"/>
      <c r="G25" s="2340" t="e">
        <f>IF(B14="nein",Ergebnis!D69,Pauschal!H21)</f>
        <v>#VALUE!</v>
      </c>
      <c r="H25" s="2344" t="str">
        <f>IF($C$19&lt;2017,"Pflegegrad 3","")</f>
        <v/>
      </c>
      <c r="I25" s="2342" t="e">
        <f t="shared" si="0"/>
        <v>#VALUE!</v>
      </c>
      <c r="J25" s="2284"/>
      <c r="L25" s="2284"/>
    </row>
    <row r="26" spans="1:13" ht="15.75">
      <c r="A26" s="1638"/>
      <c r="B26" s="2343" t="str">
        <f>IF($C$19&gt;=2017,"Pflegegrad 4","Pflegeklasse II")</f>
        <v>Pflegegrad 4</v>
      </c>
      <c r="C26" s="2345"/>
      <c r="D26" s="2346"/>
      <c r="E26" s="2347"/>
      <c r="F26" s="2348"/>
      <c r="G26" s="2340" t="e">
        <f>IF(B14="nein",Ergebnis!E69,Pauschal!H22)</f>
        <v>#VALUE!</v>
      </c>
      <c r="H26" s="2344" t="str">
        <f>IF($C$19&lt;2017,"Pflegegrad 4","")</f>
        <v/>
      </c>
      <c r="I26" s="2342" t="e">
        <f t="shared" si="0"/>
        <v>#VALUE!</v>
      </c>
      <c r="J26" s="2284"/>
      <c r="L26" s="2284"/>
    </row>
    <row r="27" spans="1:13" ht="16.5" thickBot="1">
      <c r="A27" s="1638"/>
      <c r="B27" s="2349" t="str">
        <f>IF($C$19&gt;=2017,"Pflegegrad 5","Pflegeklasse III")</f>
        <v>Pflegegrad 5</v>
      </c>
      <c r="C27" s="2350"/>
      <c r="D27" s="2351"/>
      <c r="E27" s="2352"/>
      <c r="F27" s="2353"/>
      <c r="G27" s="2354" t="e">
        <f>IF(B14="nein",Ergebnis!F69,Pauschal!H23)</f>
        <v>#VALUE!</v>
      </c>
      <c r="H27" s="2355" t="str">
        <f>IF($C$19&lt;2017,"Pflegegrad 5","")</f>
        <v/>
      </c>
      <c r="I27" s="2657" t="e">
        <f t="shared" si="0"/>
        <v>#VALUE!</v>
      </c>
      <c r="J27" s="2284"/>
      <c r="L27" s="2356"/>
    </row>
    <row r="28" spans="1:13" ht="15" customHeight="1">
      <c r="A28" s="1638"/>
      <c r="B28" s="2357" t="s">
        <v>1532</v>
      </c>
      <c r="C28" s="2358"/>
      <c r="D28" s="2359"/>
      <c r="E28" s="2360"/>
      <c r="F28" s="2361"/>
      <c r="G28" s="2362" t="e">
        <f>IF(B14="nein",Ergebnis!J57,Pauschal!H28)</f>
        <v>#VALUE!</v>
      </c>
      <c r="H28" s="2597"/>
      <c r="I28" s="2342" t="e">
        <f t="shared" si="0"/>
        <v>#VALUE!</v>
      </c>
      <c r="J28" s="2284"/>
      <c r="L28" s="2356"/>
    </row>
    <row r="29" spans="1:13" ht="15" customHeight="1">
      <c r="A29" s="1638"/>
      <c r="B29" s="2644" t="s">
        <v>1544</v>
      </c>
      <c r="C29" s="2345"/>
      <c r="D29" s="2346"/>
      <c r="E29" s="2347"/>
      <c r="F29" s="2348"/>
      <c r="G29" s="2596" t="e">
        <f>IF(B14="nein",Ergebnis!J71,Pauschal!H25)</f>
        <v>#VALUE!</v>
      </c>
      <c r="H29" s="2595"/>
      <c r="I29" s="2342" t="e">
        <f t="shared" si="0"/>
        <v>#VALUE!</v>
      </c>
      <c r="J29" s="2284"/>
      <c r="L29" s="2356"/>
    </row>
    <row r="30" spans="1:13" ht="15" customHeight="1">
      <c r="A30" s="1638"/>
      <c r="B30" s="2644" t="s">
        <v>1545</v>
      </c>
      <c r="C30" s="2345"/>
      <c r="D30" s="2346"/>
      <c r="E30" s="2347"/>
      <c r="F30" s="2348"/>
      <c r="G30" s="2596" t="e">
        <f>IF(B14="nein",Ergebnis!J72,Pauschal!H26)</f>
        <v>#VALUE!</v>
      </c>
      <c r="H30" s="2595"/>
      <c r="I30" s="2342" t="e">
        <f t="shared" si="0"/>
        <v>#VALUE!</v>
      </c>
      <c r="J30" s="2284"/>
      <c r="L30" s="2356"/>
    </row>
    <row r="31" spans="1:13" ht="16.5" thickBot="1">
      <c r="A31" s="1638"/>
      <c r="B31" s="2645" t="s">
        <v>1546</v>
      </c>
      <c r="C31" s="2363"/>
      <c r="D31" s="2364"/>
      <c r="E31" s="2365"/>
      <c r="F31" s="2366"/>
      <c r="G31" s="2367" t="e">
        <f>IF(B14="nein",Ergebnis!J73,Pauschal!H27)</f>
        <v>#VALUE!</v>
      </c>
      <c r="H31" s="1901"/>
      <c r="I31" s="2657" t="e">
        <f t="shared" si="0"/>
        <v>#VALUE!</v>
      </c>
      <c r="J31" s="2284"/>
      <c r="L31" s="2356"/>
    </row>
    <row r="32" spans="1:13" ht="16.5" thickBot="1">
      <c r="A32" s="1638"/>
      <c r="B32" s="2368" t="s">
        <v>349</v>
      </c>
      <c r="C32" s="2363"/>
      <c r="D32" s="2369"/>
      <c r="E32" s="2370">
        <f>D32</f>
        <v>0</v>
      </c>
      <c r="F32" s="2371">
        <f>D32</f>
        <v>0</v>
      </c>
      <c r="G32" s="2372">
        <f>F32</f>
        <v>0</v>
      </c>
      <c r="H32" s="2373"/>
      <c r="I32" s="2658" t="e">
        <f t="shared" si="0"/>
        <v>#DIV/0!</v>
      </c>
      <c r="L32" s="2356"/>
    </row>
    <row r="33" spans="1:13" ht="21.75" thickBot="1">
      <c r="A33" s="1638"/>
      <c r="B33" s="1639" t="s">
        <v>24</v>
      </c>
      <c r="C33" s="2374" t="s">
        <v>1374</v>
      </c>
      <c r="D33" s="2375"/>
      <c r="E33" s="2376" t="s">
        <v>1374</v>
      </c>
      <c r="F33" s="2377"/>
      <c r="G33" s="2378" t="e">
        <f>IF('Copy &amp; Paste'!B14="ja",Pauschal!I13,Ergebnis!B82)</f>
        <v>#VALUE!</v>
      </c>
      <c r="H33" s="2379" t="s">
        <v>1361</v>
      </c>
      <c r="I33" s="2380" t="e">
        <f t="shared" si="0"/>
        <v>#VALUE!</v>
      </c>
      <c r="L33" s="2381"/>
      <c r="M33" s="1550"/>
    </row>
    <row r="34" spans="1:13" ht="15.75">
      <c r="A34" s="1638"/>
      <c r="B34" s="2382" t="str">
        <f>IF(AND(E37&gt;0,G37&gt;0),"bitte entweder oder beachten !!!","")</f>
        <v/>
      </c>
      <c r="C34" s="2383">
        <f>C19</f>
        <v>2023</v>
      </c>
      <c r="D34" s="2661" t="str">
        <f>IF(D29="","",D29+D30)</f>
        <v/>
      </c>
      <c r="E34" s="2385">
        <f>E19</f>
        <v>2024</v>
      </c>
      <c r="F34" s="2661" t="str">
        <f>IF(F29="","",F29+F30)</f>
        <v/>
      </c>
      <c r="G34" s="2386">
        <f>E34</f>
        <v>2024</v>
      </c>
      <c r="H34" s="2384"/>
      <c r="I34" s="2387">
        <f>G34+1</f>
        <v>2025</v>
      </c>
      <c r="J34" s="2384"/>
    </row>
    <row r="35" spans="1:13" ht="25.5" customHeight="1">
      <c r="A35" s="1638"/>
      <c r="B35" s="4222" t="s">
        <v>757</v>
      </c>
      <c r="C35" s="2388" t="s">
        <v>760</v>
      </c>
      <c r="D35" s="2389"/>
      <c r="E35" s="2390" t="s">
        <v>758</v>
      </c>
      <c r="F35" s="2389"/>
      <c r="G35" s="2391" t="s">
        <v>759</v>
      </c>
      <c r="H35" s="2389"/>
      <c r="I35" s="2392" t="s">
        <v>781</v>
      </c>
      <c r="J35" s="2389"/>
    </row>
    <row r="36" spans="1:13" ht="22.5" customHeight="1" thickBot="1">
      <c r="A36" s="1638"/>
      <c r="B36" s="4223"/>
      <c r="C36" s="2393"/>
      <c r="D36" s="2394"/>
      <c r="E36" s="2395" t="s">
        <v>760</v>
      </c>
      <c r="F36" s="2394"/>
      <c r="G36" s="2396" t="s">
        <v>61</v>
      </c>
      <c r="H36" s="2394"/>
      <c r="I36" s="2392" t="s">
        <v>1224</v>
      </c>
      <c r="J36" s="2394"/>
    </row>
    <row r="37" spans="1:13" ht="15" customHeight="1">
      <c r="A37" s="1638"/>
      <c r="B37" s="2397" t="s">
        <v>26</v>
      </c>
      <c r="C37" s="2398"/>
      <c r="D37" s="2399"/>
      <c r="E37" s="2398"/>
      <c r="F37" s="2399"/>
      <c r="G37" s="2398"/>
      <c r="H37" s="2399"/>
      <c r="I37" s="2398"/>
      <c r="J37" s="2399"/>
      <c r="L37" s="2356"/>
    </row>
    <row r="38" spans="1:13" ht="15" customHeight="1">
      <c r="A38" s="1638"/>
      <c r="B38" s="2400" t="s">
        <v>761</v>
      </c>
      <c r="C38" s="2401"/>
      <c r="D38" s="2402"/>
      <c r="E38" s="2401"/>
      <c r="F38" s="2402"/>
      <c r="G38" s="2401"/>
      <c r="H38" s="2402"/>
      <c r="I38" s="2401"/>
      <c r="J38" s="2402"/>
      <c r="L38" s="2356"/>
    </row>
    <row r="39" spans="1:13" ht="15" customHeight="1" thickBot="1">
      <c r="A39" s="1638"/>
      <c r="B39" s="2403" t="s">
        <v>1533</v>
      </c>
      <c r="C39" s="2404"/>
      <c r="D39" s="2405"/>
      <c r="E39" s="2404"/>
      <c r="F39" s="2405"/>
      <c r="G39" s="2404"/>
      <c r="H39" s="2405"/>
      <c r="I39" s="2404"/>
      <c r="J39" s="2405"/>
      <c r="L39" s="2356"/>
    </row>
    <row r="40" spans="1:13" ht="5.25" customHeight="1">
      <c r="L40" s="2356"/>
    </row>
    <row r="41" spans="1:13" ht="21.75" thickBot="1">
      <c r="A41" s="1638"/>
      <c r="B41" s="1639" t="s">
        <v>30</v>
      </c>
    </row>
    <row r="42" spans="1:13" ht="21">
      <c r="A42" s="1638"/>
      <c r="B42" s="2406"/>
      <c r="C42" s="2407" t="s">
        <v>762</v>
      </c>
      <c r="D42" s="2408"/>
      <c r="E42" s="2408"/>
      <c r="F42" s="2409"/>
    </row>
    <row r="43" spans="1:13" ht="19.5" thickBot="1">
      <c r="A43" s="1638"/>
      <c r="B43" s="2410" t="s">
        <v>763</v>
      </c>
      <c r="C43" s="2411"/>
      <c r="D43" s="2412">
        <f>C34</f>
        <v>2023</v>
      </c>
      <c r="E43" s="2413" t="str">
        <f>C35</f>
        <v>abgeschlossenes Geschäftsjahr</v>
      </c>
      <c r="F43" s="2414"/>
    </row>
    <row r="44" spans="1:13" ht="54.75" customHeight="1" thickBot="1">
      <c r="A44" s="1638"/>
      <c r="B44" s="2415" t="s">
        <v>764</v>
      </c>
      <c r="C44" s="2416">
        <f>H11</f>
        <v>0</v>
      </c>
      <c r="D44" s="2417" t="s">
        <v>765</v>
      </c>
      <c r="E44" s="2418" t="s">
        <v>884</v>
      </c>
      <c r="F44" s="2419" t="s">
        <v>1534</v>
      </c>
      <c r="G44" s="2420" t="s">
        <v>1535</v>
      </c>
    </row>
    <row r="45" spans="1:13" ht="15" customHeight="1">
      <c r="A45" s="1638"/>
      <c r="B45" s="2421" t="str">
        <f>IF($D$43&gt;=2017,"Pflegegrad 1","")</f>
        <v>Pflegegrad 1</v>
      </c>
      <c r="C45" s="2409"/>
      <c r="D45" s="2422"/>
      <c r="E45" s="2423"/>
      <c r="F45" s="2424"/>
      <c r="G45" s="2425"/>
    </row>
    <row r="46" spans="1:13" ht="15.75">
      <c r="A46" s="1638"/>
      <c r="B46" s="1660" t="str">
        <f>IF($D$43&gt;=2017,"Pflegegrad 2","Pflegeklasse 0")</f>
        <v>Pflegegrad 2</v>
      </c>
      <c r="C46" s="2426"/>
      <c r="D46" s="2427"/>
      <c r="E46" s="2428"/>
      <c r="F46" s="2429"/>
      <c r="G46" s="2430"/>
    </row>
    <row r="47" spans="1:13" ht="15.75">
      <c r="A47" s="1638"/>
      <c r="B47" s="1660" t="str">
        <f>IF($D$43&gt;=2017,"Pflegegrad 3","Pflegeklasse I")</f>
        <v>Pflegegrad 3</v>
      </c>
      <c r="C47" s="2426"/>
      <c r="D47" s="2427"/>
      <c r="E47" s="2428"/>
      <c r="F47" s="2429"/>
      <c r="G47" s="2430"/>
    </row>
    <row r="48" spans="1:13" ht="15.75">
      <c r="A48" s="1638"/>
      <c r="B48" s="1660" t="str">
        <f>IF($D$43&gt;=2017,"Pflegegrad 4","Pflegeklasse II")</f>
        <v>Pflegegrad 4</v>
      </c>
      <c r="C48" s="2426"/>
      <c r="D48" s="2427"/>
      <c r="E48" s="2428"/>
      <c r="F48" s="2429"/>
      <c r="G48" s="2430"/>
    </row>
    <row r="49" spans="1:12" ht="15.75">
      <c r="A49" s="1638"/>
      <c r="B49" s="1660" t="str">
        <f>IF($D$43&gt;=2017,"Pflegegrad 5","Pflegeklasse III")</f>
        <v>Pflegegrad 5</v>
      </c>
      <c r="C49" s="2426"/>
      <c r="D49" s="2427"/>
      <c r="E49" s="2428"/>
      <c r="F49" s="2429"/>
      <c r="G49" s="2430"/>
    </row>
    <row r="50" spans="1:12" ht="16.5" thickBot="1">
      <c r="A50" s="1638"/>
      <c r="B50" s="2431" t="str">
        <f>IF($D$43&gt;=2017,"","Härtefälle")</f>
        <v/>
      </c>
      <c r="C50" s="2414"/>
      <c r="D50" s="2432"/>
      <c r="E50" s="2433"/>
      <c r="F50" s="2434"/>
      <c r="G50" s="2435"/>
    </row>
    <row r="51" spans="1:12" ht="37.5" customHeight="1" thickBot="1">
      <c r="A51" s="1638"/>
      <c r="B51" s="2436" t="s">
        <v>777</v>
      </c>
      <c r="C51" s="2437"/>
      <c r="D51" s="2438"/>
      <c r="E51" s="2439"/>
      <c r="F51" s="2440"/>
    </row>
    <row r="52" spans="1:12" s="401" customFormat="1" ht="6.75" customHeight="1" thickBot="1">
      <c r="A52" s="1598"/>
      <c r="D52" s="2441"/>
      <c r="E52" s="2442"/>
      <c r="F52" s="2441"/>
      <c r="L52" s="2443"/>
    </row>
    <row r="53" spans="1:12" ht="54.75" customHeight="1" thickBot="1">
      <c r="B53" s="2415" t="s">
        <v>764</v>
      </c>
      <c r="C53" s="2416">
        <f>H11</f>
        <v>0</v>
      </c>
      <c r="D53" s="2444">
        <f>E19</f>
        <v>2024</v>
      </c>
      <c r="E53" s="2445" t="str">
        <f>IF(AND(E37="",G37=""),"",IF(E37&gt;0,E36,G36))</f>
        <v/>
      </c>
      <c r="F53" s="1876"/>
      <c r="G53" s="2966"/>
      <c r="H53" s="2971"/>
      <c r="I53" s="2972"/>
      <c r="J53" s="4208"/>
      <c r="K53" s="4208"/>
    </row>
    <row r="54" spans="1:12" ht="54.75" thickBot="1">
      <c r="A54" s="1638"/>
      <c r="B54" s="2446" t="str">
        <f>"Bitte Anzahl der Monate mit Ist-Belegung eintragen, siehe Anmerkung zu Zelle C52 !    "</f>
        <v xml:space="preserve">Bitte Anzahl der Monate mit Ist-Belegung eintragen, siehe Anmerkung zu Zelle C52 !    </v>
      </c>
      <c r="C54" s="2447"/>
      <c r="D54" s="2448" t="s">
        <v>765</v>
      </c>
      <c r="E54" s="2418" t="s">
        <v>884</v>
      </c>
      <c r="F54" s="2962" t="s">
        <v>1534</v>
      </c>
      <c r="G54" s="2967" t="s">
        <v>1535</v>
      </c>
      <c r="H54" s="401"/>
      <c r="I54" s="2973"/>
      <c r="J54" s="2973"/>
      <c r="K54" s="402"/>
    </row>
    <row r="55" spans="1:12" ht="15" customHeight="1">
      <c r="A55" s="1638"/>
      <c r="B55" s="1660" t="str">
        <f>IF($D$53&gt;=2017,"Pflegegrad 1","")</f>
        <v>Pflegegrad 1</v>
      </c>
      <c r="C55" s="2449"/>
      <c r="D55" s="2450"/>
      <c r="E55" s="2451"/>
      <c r="F55" s="2964"/>
      <c r="G55" s="2968"/>
      <c r="H55" s="401"/>
      <c r="I55" s="2974"/>
      <c r="J55" s="2974"/>
      <c r="K55" s="402"/>
    </row>
    <row r="56" spans="1:12" ht="15.75">
      <c r="A56" s="1638"/>
      <c r="B56" s="1660" t="str">
        <f>IF($D$53&gt;=2017,"Pflegegrad 2","Pflegeklasse 0")</f>
        <v>Pflegegrad 2</v>
      </c>
      <c r="C56" s="2452"/>
      <c r="D56" s="2450"/>
      <c r="E56" s="2451"/>
      <c r="F56" s="2963"/>
      <c r="G56" s="2969"/>
      <c r="H56" s="401"/>
      <c r="I56" s="2974"/>
      <c r="J56" s="2974"/>
      <c r="K56" s="402"/>
    </row>
    <row r="57" spans="1:12" ht="15.75">
      <c r="A57" s="1638"/>
      <c r="B57" s="1660" t="str">
        <f>IF($D$53&gt;=2017,"Pflegegrad 3","Pflegeklasse I")</f>
        <v>Pflegegrad 3</v>
      </c>
      <c r="C57" s="2452"/>
      <c r="D57" s="2450"/>
      <c r="E57" s="2451"/>
      <c r="F57" s="2963"/>
      <c r="G57" s="2969"/>
      <c r="H57" s="401"/>
      <c r="I57" s="2974"/>
      <c r="J57" s="2974"/>
      <c r="K57" s="402"/>
    </row>
    <row r="58" spans="1:12" ht="15.75">
      <c r="A58" s="1638"/>
      <c r="B58" s="1660" t="str">
        <f>IF($D$53&gt;=2017,"Pflegegrad 4","Pflegeklasse II")</f>
        <v>Pflegegrad 4</v>
      </c>
      <c r="C58" s="2452"/>
      <c r="D58" s="2450"/>
      <c r="E58" s="2451"/>
      <c r="F58" s="2963"/>
      <c r="G58" s="2969"/>
      <c r="H58" s="401"/>
      <c r="I58" s="2974"/>
      <c r="J58" s="2974"/>
      <c r="K58" s="402"/>
    </row>
    <row r="59" spans="1:12" ht="15.75">
      <c r="A59" s="1638"/>
      <c r="B59" s="1660" t="str">
        <f>IF($D$53&gt;=2017,"Pflegegrad 5","Pflegeklasse III")</f>
        <v>Pflegegrad 5</v>
      </c>
      <c r="C59" s="2452"/>
      <c r="D59" s="2450"/>
      <c r="E59" s="2451"/>
      <c r="F59" s="2963"/>
      <c r="G59" s="2969"/>
      <c r="H59" s="401"/>
      <c r="I59" s="2974"/>
      <c r="J59" s="2974"/>
      <c r="K59" s="402"/>
    </row>
    <row r="60" spans="1:12" ht="16.5" thickBot="1">
      <c r="A60" s="1638"/>
      <c r="B60" s="2431" t="str">
        <f>IF($D$53&gt;=2017,"","Härtefälle")</f>
        <v/>
      </c>
      <c r="C60" s="2453"/>
      <c r="D60" s="2454"/>
      <c r="E60" s="2455"/>
      <c r="F60" s="2965"/>
      <c r="G60" s="2970"/>
      <c r="H60" s="401"/>
      <c r="I60" s="401"/>
      <c r="J60" s="401"/>
      <c r="K60" s="401"/>
    </row>
    <row r="61" spans="1:12" ht="36.75" customHeight="1" thickBot="1">
      <c r="A61" s="1638"/>
      <c r="B61" s="2456" t="s">
        <v>777</v>
      </c>
      <c r="C61" s="2457"/>
      <c r="D61" s="2458"/>
      <c r="E61" s="2459"/>
      <c r="F61" s="2440"/>
    </row>
    <row r="62" spans="1:12" ht="7.5" customHeight="1" thickBot="1">
      <c r="A62" s="1638"/>
      <c r="B62" s="2460"/>
      <c r="C62" s="2461"/>
      <c r="D62" s="1719"/>
      <c r="E62" s="1573"/>
      <c r="F62" s="1707"/>
    </row>
    <row r="63" spans="1:12" ht="15.75">
      <c r="A63" s="1638"/>
      <c r="B63" s="4170" t="s">
        <v>766</v>
      </c>
      <c r="C63" s="4171"/>
      <c r="D63" s="4171"/>
      <c r="E63" s="4171"/>
      <c r="F63" s="4172"/>
      <c r="H63" s="3968"/>
      <c r="I63" s="3968"/>
      <c r="J63" s="3968"/>
      <c r="K63" s="3968"/>
      <c r="L63" s="3968"/>
    </row>
    <row r="64" spans="1:12" ht="16.5" thickBot="1">
      <c r="A64" s="1638"/>
      <c r="B64" s="4201" t="s">
        <v>820</v>
      </c>
      <c r="C64" s="4202"/>
      <c r="D64" s="4202"/>
      <c r="E64" s="4202"/>
      <c r="F64" s="4203"/>
      <c r="H64" s="3969"/>
      <c r="I64" s="3969"/>
      <c r="J64" s="3969"/>
      <c r="K64" s="3969"/>
      <c r="L64" s="3969"/>
    </row>
    <row r="65" spans="1:17" ht="54.75" customHeight="1" thickBot="1">
      <c r="A65" s="1638"/>
      <c r="B65" s="2415" t="s">
        <v>764</v>
      </c>
      <c r="C65" s="2462">
        <f>H11</f>
        <v>0</v>
      </c>
      <c r="D65" s="2417" t="s">
        <v>765</v>
      </c>
      <c r="E65" s="2418" t="s">
        <v>884</v>
      </c>
      <c r="F65" s="2463"/>
      <c r="G65" s="2464"/>
      <c r="H65" s="3964"/>
      <c r="I65" s="2971"/>
      <c r="J65" s="2973"/>
      <c r="K65" s="2973"/>
      <c r="L65" s="3965"/>
      <c r="M65" s="2465"/>
      <c r="N65" s="2466"/>
    </row>
    <row r="66" spans="1:17" ht="15.75">
      <c r="A66" s="1638"/>
      <c r="B66" s="2421" t="s">
        <v>1</v>
      </c>
      <c r="C66" s="2409"/>
      <c r="D66" s="2467"/>
      <c r="E66" s="2468"/>
      <c r="F66" s="2469"/>
      <c r="G66" s="1080"/>
      <c r="H66" s="1080"/>
      <c r="I66" s="402"/>
      <c r="J66" s="2974"/>
      <c r="K66" s="3966"/>
      <c r="L66" s="2471"/>
      <c r="M66" s="402"/>
      <c r="N66" s="402"/>
    </row>
    <row r="67" spans="1:17" ht="15.75">
      <c r="A67" s="1638"/>
      <c r="B67" s="1660" t="s">
        <v>2</v>
      </c>
      <c r="C67" s="2426"/>
      <c r="D67" s="4163"/>
      <c r="E67" s="4164"/>
      <c r="F67" s="2470"/>
      <c r="G67" s="2471"/>
      <c r="H67" s="1080"/>
      <c r="I67" s="402"/>
      <c r="J67" s="2974"/>
      <c r="K67" s="2974"/>
      <c r="L67" s="2471"/>
      <c r="M67" s="2472"/>
      <c r="N67" s="402"/>
    </row>
    <row r="68" spans="1:17" ht="15.75">
      <c r="A68" s="1638"/>
      <c r="B68" s="1660" t="s">
        <v>3</v>
      </c>
      <c r="C68" s="2426"/>
      <c r="D68" s="4163"/>
      <c r="E68" s="4164"/>
      <c r="F68" s="2470"/>
      <c r="G68" s="2471"/>
      <c r="H68" s="1080"/>
      <c r="I68" s="402"/>
      <c r="J68" s="2974"/>
      <c r="K68" s="2974"/>
      <c r="L68" s="2471"/>
      <c r="M68" s="2472"/>
      <c r="N68" s="402"/>
    </row>
    <row r="69" spans="1:17" ht="15.75">
      <c r="A69" s="1638"/>
      <c r="B69" s="1660" t="s">
        <v>4</v>
      </c>
      <c r="C69" s="2426"/>
      <c r="D69" s="4163"/>
      <c r="E69" s="4164"/>
      <c r="F69" s="2470"/>
      <c r="G69" s="2471"/>
      <c r="H69" s="1080"/>
      <c r="I69" s="402"/>
      <c r="J69" s="2974"/>
      <c r="K69" s="2974"/>
      <c r="L69" s="2471"/>
      <c r="M69" s="2472"/>
      <c r="N69" s="402"/>
    </row>
    <row r="70" spans="1:17" ht="15.75">
      <c r="A70" s="1638"/>
      <c r="B70" s="1660" t="s">
        <v>5</v>
      </c>
      <c r="C70" s="2426"/>
      <c r="D70" s="4163"/>
      <c r="E70" s="4164"/>
      <c r="F70" s="2470"/>
      <c r="G70" s="2471"/>
      <c r="H70" s="1080"/>
      <c r="I70" s="402"/>
      <c r="J70" s="2974"/>
      <c r="K70" s="2974"/>
      <c r="L70" s="2471"/>
      <c r="M70" s="2472"/>
      <c r="N70" s="402"/>
    </row>
    <row r="71" spans="1:17" ht="13.5" thickBot="1">
      <c r="A71" s="1638"/>
      <c r="B71" s="2473"/>
      <c r="C71" s="2474"/>
      <c r="D71" s="2475"/>
      <c r="E71" s="2476"/>
      <c r="F71" s="2477"/>
      <c r="G71" s="402"/>
      <c r="H71" s="1080"/>
      <c r="I71" s="402"/>
      <c r="J71" s="2471"/>
      <c r="K71" s="3967"/>
      <c r="L71" s="2471"/>
      <c r="M71" s="2472"/>
      <c r="N71" s="402"/>
    </row>
    <row r="72" spans="1:17" ht="20.25" customHeight="1" thickBot="1">
      <c r="A72" s="1638"/>
      <c r="B72" s="2478" t="s">
        <v>1322</v>
      </c>
      <c r="C72" s="2479"/>
      <c r="D72" s="2479"/>
      <c r="E72" s="2479"/>
      <c r="F72" s="2480"/>
      <c r="G72" s="2481"/>
      <c r="H72" s="2482"/>
      <c r="I72" s="402"/>
      <c r="J72" s="2472"/>
      <c r="K72" s="402"/>
      <c r="L72" s="402"/>
      <c r="M72" s="2472"/>
      <c r="N72" s="402"/>
    </row>
    <row r="73" spans="1:17" ht="20.25" customHeight="1" thickBot="1">
      <c r="B73" s="4232" t="s">
        <v>778</v>
      </c>
      <c r="C73" s="4233"/>
      <c r="D73" s="4233"/>
      <c r="E73" s="4234"/>
      <c r="F73" s="2483"/>
      <c r="H73" s="2484"/>
      <c r="I73" s="2484"/>
      <c r="J73" s="2484"/>
      <c r="K73" s="2484"/>
      <c r="L73" s="2484"/>
      <c r="M73" s="2484"/>
      <c r="N73" s="2484"/>
      <c r="O73" s="1690"/>
      <c r="P73" s="1690"/>
      <c r="Q73" s="1690"/>
    </row>
    <row r="74" spans="1:17" ht="20.25" customHeight="1" thickBot="1">
      <c r="B74" s="3962"/>
      <c r="C74" s="3962"/>
      <c r="D74" s="3962"/>
      <c r="E74" s="3962"/>
      <c r="F74" s="3970"/>
      <c r="H74" s="402"/>
      <c r="I74" s="402"/>
      <c r="J74" s="2485"/>
      <c r="K74" s="2486"/>
      <c r="L74" s="1622"/>
      <c r="M74" s="402"/>
      <c r="N74" s="402"/>
      <c r="O74" s="2487"/>
      <c r="P74" s="2487"/>
      <c r="Q74" s="2487"/>
    </row>
    <row r="75" spans="1:17" ht="22.5" customHeight="1" thickBot="1">
      <c r="A75" s="1807"/>
      <c r="B75" s="4193" t="s">
        <v>767</v>
      </c>
      <c r="C75" s="4194"/>
      <c r="D75" s="3384">
        <f>C19</f>
        <v>2023</v>
      </c>
      <c r="E75" s="3384">
        <f>E19</f>
        <v>2024</v>
      </c>
      <c r="F75" s="2488" t="s">
        <v>768</v>
      </c>
      <c r="H75" s="402"/>
      <c r="I75" s="402"/>
      <c r="J75" s="2489"/>
      <c r="K75" s="402"/>
      <c r="L75" s="2490"/>
      <c r="M75" s="402"/>
      <c r="N75" s="402"/>
      <c r="O75" s="2491"/>
      <c r="P75" s="2491"/>
      <c r="Q75" s="2491"/>
    </row>
    <row r="76" spans="1:17" ht="19.5" thickBot="1">
      <c r="A76" s="1807"/>
      <c r="B76" s="4230" t="s">
        <v>769</v>
      </c>
      <c r="C76" s="4231"/>
      <c r="D76" s="2492" t="s">
        <v>760</v>
      </c>
      <c r="E76" s="2493" t="str">
        <f>E53</f>
        <v/>
      </c>
      <c r="F76" s="2494" t="s">
        <v>38</v>
      </c>
      <c r="H76" s="2495"/>
      <c r="I76" s="2496"/>
      <c r="J76" s="2472"/>
      <c r="K76" s="402"/>
      <c r="L76" s="2490"/>
      <c r="M76" s="402"/>
      <c r="N76" s="402"/>
      <c r="O76" s="2487"/>
      <c r="P76" s="2497" t="s">
        <v>226</v>
      </c>
      <c r="Q76" s="2498">
        <f>H14+(1*1)</f>
        <v>1</v>
      </c>
    </row>
    <row r="77" spans="1:17" ht="19.5" customHeight="1">
      <c r="A77" s="1807"/>
      <c r="B77" s="2499" t="s">
        <v>39</v>
      </c>
      <c r="C77" s="2500" t="s">
        <v>770</v>
      </c>
      <c r="D77" s="2501"/>
      <c r="E77" s="2502"/>
      <c r="F77" s="2502"/>
      <c r="H77" s="2503"/>
      <c r="I77" s="2442"/>
      <c r="J77" s="2472"/>
      <c r="K77" s="402"/>
      <c r="L77" s="2490"/>
      <c r="M77" s="402"/>
      <c r="N77" s="402"/>
      <c r="O77" s="2504" t="s">
        <v>821</v>
      </c>
      <c r="P77" s="2505" t="s">
        <v>770</v>
      </c>
      <c r="Q77" s="2506"/>
    </row>
    <row r="78" spans="1:17" ht="20.100000000000001" customHeight="1">
      <c r="A78" s="1807"/>
      <c r="B78" s="2507" t="s">
        <v>41</v>
      </c>
      <c r="C78" s="2508" t="s">
        <v>770</v>
      </c>
      <c r="D78" s="2509"/>
      <c r="E78" s="2510"/>
      <c r="F78" s="2510"/>
      <c r="H78" s="402"/>
      <c r="I78" s="402"/>
      <c r="J78" s="2472"/>
      <c r="K78" s="402"/>
      <c r="L78" s="2490"/>
      <c r="M78" s="402"/>
      <c r="N78" s="402"/>
      <c r="O78" s="2504" t="s">
        <v>41</v>
      </c>
      <c r="P78" s="2505" t="s">
        <v>770</v>
      </c>
      <c r="Q78" s="2506"/>
    </row>
    <row r="79" spans="1:17" ht="20.100000000000001" customHeight="1" thickBot="1">
      <c r="A79" s="1807"/>
      <c r="B79" s="2511" t="s">
        <v>43</v>
      </c>
      <c r="C79" s="2512" t="s">
        <v>771</v>
      </c>
      <c r="D79" s="2513"/>
      <c r="E79" s="2513"/>
      <c r="F79" s="2513"/>
      <c r="H79" s="402"/>
      <c r="I79" s="402"/>
      <c r="J79" s="2472"/>
      <c r="K79" s="402"/>
      <c r="L79" s="2490"/>
      <c r="M79" s="402"/>
      <c r="N79" s="402"/>
      <c r="O79" s="2514" t="s">
        <v>43</v>
      </c>
      <c r="P79" s="2505" t="s">
        <v>828</v>
      </c>
      <c r="Q79" s="2515"/>
    </row>
    <row r="80" spans="1:17" ht="19.5" customHeight="1">
      <c r="A80" s="1807"/>
      <c r="B80" s="2499" t="s">
        <v>1004</v>
      </c>
      <c r="C80" s="2500" t="s">
        <v>770</v>
      </c>
      <c r="D80" s="2501"/>
      <c r="E80" s="2502"/>
      <c r="F80" s="2502"/>
      <c r="H80" s="402"/>
      <c r="I80" s="402"/>
      <c r="J80" s="2472"/>
      <c r="K80" s="402"/>
      <c r="L80" s="2490"/>
      <c r="M80" s="2490"/>
      <c r="N80" s="402"/>
      <c r="O80" s="2504" t="s">
        <v>46</v>
      </c>
      <c r="P80" s="2505" t="s">
        <v>770</v>
      </c>
      <c r="Q80" s="2506"/>
    </row>
    <row r="81" spans="1:17" ht="20.100000000000001" customHeight="1">
      <c r="A81" s="1807"/>
      <c r="B81" s="2507" t="s">
        <v>1536</v>
      </c>
      <c r="C81" s="2508" t="s">
        <v>770</v>
      </c>
      <c r="D81" s="2509"/>
      <c r="E81" s="2510"/>
      <c r="F81" s="2510"/>
      <c r="H81" s="2487"/>
      <c r="I81" s="2487"/>
      <c r="J81" s="2487"/>
      <c r="K81" s="2487"/>
      <c r="L81" s="2487"/>
      <c r="M81" s="2487"/>
      <c r="N81" s="2487"/>
      <c r="O81" s="2504" t="s">
        <v>48</v>
      </c>
      <c r="P81" s="2505" t="s">
        <v>770</v>
      </c>
      <c r="Q81" s="2506"/>
    </row>
    <row r="82" spans="1:17" ht="20.100000000000001" customHeight="1" thickBot="1">
      <c r="A82" s="1807"/>
      <c r="B82" s="2516" t="s">
        <v>43</v>
      </c>
      <c r="C82" s="2517" t="s">
        <v>771</v>
      </c>
      <c r="D82" s="2513"/>
      <c r="E82" s="2513"/>
      <c r="F82" s="2567"/>
      <c r="G82" s="3777"/>
      <c r="H82" s="402"/>
      <c r="I82" s="402"/>
      <c r="J82" s="402"/>
      <c r="K82" s="402"/>
      <c r="O82" s="2514" t="s">
        <v>43</v>
      </c>
      <c r="P82" s="2505" t="s">
        <v>771</v>
      </c>
      <c r="Q82" s="2515"/>
    </row>
    <row r="83" spans="1:17" ht="19.5" customHeight="1" thickBot="1">
      <c r="A83" s="1807"/>
      <c r="B83" s="1911" t="s">
        <v>2443</v>
      </c>
      <c r="C83" s="3985" t="s">
        <v>770</v>
      </c>
      <c r="D83" s="4156"/>
      <c r="E83" s="4157"/>
      <c r="F83" s="4158"/>
      <c r="G83" s="3778"/>
      <c r="H83" s="4200"/>
      <c r="I83" s="4200"/>
      <c r="J83" s="4200"/>
      <c r="K83" s="4200"/>
      <c r="O83" s="2504" t="s">
        <v>822</v>
      </c>
      <c r="P83" s="2505" t="s">
        <v>770</v>
      </c>
      <c r="Q83" s="2506"/>
    </row>
    <row r="84" spans="1:17" ht="19.5" customHeight="1" thickBot="1">
      <c r="A84" s="1807"/>
      <c r="B84" s="3986" t="s">
        <v>43</v>
      </c>
      <c r="C84" s="3987" t="s">
        <v>771</v>
      </c>
      <c r="D84" s="4159"/>
      <c r="E84" s="4160"/>
      <c r="F84" s="4160"/>
      <c r="G84" s="3778"/>
      <c r="H84" s="3776"/>
      <c r="I84" s="3776"/>
      <c r="J84" s="3776"/>
      <c r="K84" s="3776"/>
      <c r="O84" s="2504"/>
      <c r="P84" s="2505"/>
      <c r="Q84" s="2506"/>
    </row>
    <row r="85" spans="1:17" ht="19.5" customHeight="1" thickBot="1">
      <c r="A85" s="1807"/>
      <c r="B85" s="1911" t="s">
        <v>2345</v>
      </c>
      <c r="C85" s="3988" t="s">
        <v>770</v>
      </c>
      <c r="D85" s="4156"/>
      <c r="E85" s="4157"/>
      <c r="F85" s="4157"/>
      <c r="G85" s="3778"/>
      <c r="H85" s="3776"/>
      <c r="I85" s="3776"/>
      <c r="J85" s="3776"/>
      <c r="K85" s="3776"/>
      <c r="O85" s="2504"/>
      <c r="P85" s="2505"/>
      <c r="Q85" s="2506"/>
    </row>
    <row r="86" spans="1:17" ht="19.5" customHeight="1" thickBot="1">
      <c r="A86" s="1807"/>
      <c r="B86" s="3986" t="s">
        <v>43</v>
      </c>
      <c r="C86" s="3987" t="s">
        <v>771</v>
      </c>
      <c r="D86" s="4159"/>
      <c r="E86" s="4160"/>
      <c r="F86" s="4160"/>
      <c r="G86" s="3778"/>
      <c r="H86" s="3776"/>
      <c r="I86" s="3776"/>
      <c r="J86" s="3776"/>
      <c r="K86" s="3776"/>
      <c r="O86" s="2504"/>
      <c r="P86" s="2505"/>
      <c r="Q86" s="2506"/>
    </row>
    <row r="87" spans="1:17" ht="19.5" customHeight="1" thickBot="1">
      <c r="A87" s="1807"/>
      <c r="B87" s="1911" t="s">
        <v>2346</v>
      </c>
      <c r="C87" s="3988" t="s">
        <v>770</v>
      </c>
      <c r="D87" s="4156"/>
      <c r="E87" s="4157"/>
      <c r="F87" s="4157"/>
      <c r="G87" s="3778"/>
      <c r="H87" s="3776"/>
      <c r="I87" s="3776"/>
      <c r="J87" s="3776"/>
      <c r="K87" s="3776"/>
      <c r="O87" s="2504"/>
      <c r="P87" s="2505"/>
      <c r="Q87" s="2506"/>
    </row>
    <row r="88" spans="1:17" ht="20.100000000000001" customHeight="1" thickBot="1">
      <c r="A88" s="1807"/>
      <c r="B88" s="3986" t="s">
        <v>43</v>
      </c>
      <c r="C88" s="3987" t="s">
        <v>771</v>
      </c>
      <c r="D88" s="4161"/>
      <c r="E88" s="4162"/>
      <c r="F88" s="4162"/>
      <c r="G88" s="3778"/>
      <c r="H88" s="4200"/>
      <c r="I88" s="4200"/>
      <c r="J88" s="4200"/>
      <c r="K88" s="4200"/>
      <c r="O88" s="2504" t="s">
        <v>823</v>
      </c>
      <c r="P88" s="2505" t="s">
        <v>770</v>
      </c>
      <c r="Q88" s="2506"/>
    </row>
    <row r="89" spans="1:17" ht="20.100000000000001" customHeight="1" thickBot="1">
      <c r="A89" s="1807"/>
      <c r="B89" s="1911" t="s">
        <v>2347</v>
      </c>
      <c r="C89" s="3988" t="s">
        <v>770</v>
      </c>
      <c r="D89" s="4156"/>
      <c r="E89" s="4157"/>
      <c r="F89" s="4157"/>
      <c r="G89" s="3778"/>
      <c r="H89" s="3776"/>
      <c r="I89" s="3776"/>
      <c r="J89" s="3776"/>
      <c r="K89" s="3776"/>
      <c r="O89" s="2504"/>
      <c r="P89" s="2505"/>
      <c r="Q89" s="2506"/>
    </row>
    <row r="90" spans="1:17" ht="20.100000000000001" customHeight="1" thickBot="1">
      <c r="A90" s="1807"/>
      <c r="B90" s="3986" t="s">
        <v>43</v>
      </c>
      <c r="C90" s="3987" t="s">
        <v>771</v>
      </c>
      <c r="D90" s="4161"/>
      <c r="E90" s="4162"/>
      <c r="F90" s="4162"/>
      <c r="G90" s="3778"/>
      <c r="H90" s="4200"/>
      <c r="I90" s="4200"/>
      <c r="J90" s="4200"/>
      <c r="K90" s="4200"/>
      <c r="O90" s="2504" t="s">
        <v>9</v>
      </c>
      <c r="P90" s="2487" t="s">
        <v>770</v>
      </c>
      <c r="Q90" s="2506"/>
    </row>
    <row r="91" spans="1:17" ht="20.100000000000001" customHeight="1">
      <c r="A91" s="1807"/>
      <c r="B91" s="2499" t="s">
        <v>1806</v>
      </c>
      <c r="C91" s="2500" t="s">
        <v>770</v>
      </c>
      <c r="D91" s="2502"/>
      <c r="E91" s="2502"/>
      <c r="F91" s="2502"/>
      <c r="O91" s="2487"/>
      <c r="P91" s="2487"/>
      <c r="Q91" s="2506"/>
    </row>
    <row r="92" spans="1:17" ht="20.100000000000001" customHeight="1" thickBot="1">
      <c r="A92" s="1807"/>
      <c r="B92" s="2848" t="s">
        <v>43</v>
      </c>
      <c r="C92" s="2517" t="s">
        <v>771</v>
      </c>
      <c r="D92" s="2513"/>
      <c r="E92" s="2513"/>
      <c r="F92" s="2513"/>
      <c r="O92" s="2487"/>
      <c r="P92" s="2487"/>
      <c r="Q92" s="2515"/>
    </row>
    <row r="93" spans="1:17" ht="20.100000000000001" customHeight="1">
      <c r="A93" s="1807"/>
      <c r="B93" s="2499" t="s">
        <v>52</v>
      </c>
      <c r="C93" s="2500" t="s">
        <v>770</v>
      </c>
      <c r="D93" s="2501"/>
      <c r="E93" s="2502"/>
      <c r="F93" s="2502" t="s">
        <v>1300</v>
      </c>
      <c r="O93" s="2504" t="s">
        <v>52</v>
      </c>
      <c r="P93" s="2505" t="s">
        <v>770</v>
      </c>
      <c r="Q93" s="2506"/>
    </row>
    <row r="94" spans="1:17" ht="20.100000000000001" customHeight="1">
      <c r="A94" s="1807"/>
      <c r="B94" s="2518" t="s">
        <v>53</v>
      </c>
      <c r="C94" s="2519" t="s">
        <v>770</v>
      </c>
      <c r="D94" s="2520"/>
      <c r="E94" s="2521"/>
      <c r="F94" s="2521"/>
      <c r="O94" s="2504" t="s">
        <v>53</v>
      </c>
      <c r="P94" s="2505" t="s">
        <v>770</v>
      </c>
      <c r="Q94" s="2506"/>
    </row>
    <row r="95" spans="1:17" ht="20.100000000000001" customHeight="1">
      <c r="A95" s="1807"/>
      <c r="B95" s="2507" t="s">
        <v>54</v>
      </c>
      <c r="C95" s="2508" t="s">
        <v>770</v>
      </c>
      <c r="D95" s="2509"/>
      <c r="E95" s="2510"/>
      <c r="F95" s="2510" t="s">
        <v>1300</v>
      </c>
      <c r="O95" s="2504" t="s">
        <v>54</v>
      </c>
      <c r="P95" s="2505" t="s">
        <v>770</v>
      </c>
      <c r="Q95" s="2506"/>
    </row>
    <row r="96" spans="1:17" ht="20.100000000000001" customHeight="1" thickBot="1">
      <c r="A96" s="1807"/>
      <c r="B96" s="2516" t="s">
        <v>43</v>
      </c>
      <c r="C96" s="2517" t="s">
        <v>771</v>
      </c>
      <c r="D96" s="2513"/>
      <c r="E96" s="2513"/>
      <c r="F96" s="2513"/>
      <c r="O96" s="2514" t="s">
        <v>43</v>
      </c>
      <c r="P96" s="2505" t="s">
        <v>771</v>
      </c>
      <c r="Q96" s="2515"/>
    </row>
    <row r="97" spans="1:17" ht="21.75" customHeight="1">
      <c r="A97" s="1807"/>
      <c r="B97" s="2522" t="s">
        <v>1005</v>
      </c>
      <c r="C97" s="2523" t="s">
        <v>770</v>
      </c>
      <c r="D97" s="2524"/>
      <c r="E97" s="2525"/>
      <c r="F97" s="2525"/>
      <c r="O97" s="2504" t="s">
        <v>88</v>
      </c>
      <c r="P97" s="2505" t="s">
        <v>770</v>
      </c>
      <c r="Q97" s="2506"/>
    </row>
    <row r="98" spans="1:17" ht="20.100000000000001" customHeight="1" thickBot="1">
      <c r="A98" s="1807"/>
      <c r="B98" s="2526" t="s">
        <v>43</v>
      </c>
      <c r="C98" s="2527" t="s">
        <v>771</v>
      </c>
      <c r="D98" s="2528"/>
      <c r="E98" s="2528"/>
      <c r="F98" s="2513"/>
      <c r="O98" s="2514" t="s">
        <v>43</v>
      </c>
      <c r="P98" s="2505" t="s">
        <v>771</v>
      </c>
      <c r="Q98" s="2515"/>
    </row>
    <row r="99" spans="1:17" ht="13.5" thickBot="1">
      <c r="O99" s="2487"/>
      <c r="P99" s="2487"/>
      <c r="Q99" s="2487"/>
    </row>
    <row r="100" spans="1:17" ht="23.25">
      <c r="A100" s="2529"/>
      <c r="B100" s="2530" t="s">
        <v>59</v>
      </c>
      <c r="C100" s="2531"/>
      <c r="D100" s="2532">
        <f>C19</f>
        <v>2023</v>
      </c>
      <c r="E100" s="2533">
        <f>E19</f>
        <v>2024</v>
      </c>
      <c r="F100" s="2534" t="s">
        <v>768</v>
      </c>
      <c r="O100" s="2487"/>
      <c r="P100" s="2487"/>
      <c r="Q100" s="2487"/>
    </row>
    <row r="101" spans="1:17" ht="26.25" thickBot="1">
      <c r="A101" s="2529"/>
      <c r="B101" s="2535" t="s">
        <v>772</v>
      </c>
      <c r="C101" s="2536"/>
      <c r="D101" s="2537" t="s">
        <v>760</v>
      </c>
      <c r="E101" s="2538" t="str">
        <f>E76</f>
        <v/>
      </c>
      <c r="F101" s="2539" t="s">
        <v>38</v>
      </c>
      <c r="O101" s="2487"/>
      <c r="P101" s="2497" t="s">
        <v>227</v>
      </c>
      <c r="Q101" s="2487"/>
    </row>
    <row r="102" spans="1:17" ht="24.95" customHeight="1">
      <c r="A102" s="1807"/>
      <c r="B102" s="2540" t="s">
        <v>824</v>
      </c>
      <c r="C102" s="2541"/>
      <c r="D102" s="2542"/>
      <c r="E102" s="2542"/>
      <c r="F102" s="2543"/>
      <c r="G102" s="2544"/>
      <c r="H102" s="2544"/>
      <c r="O102" s="2504" t="s">
        <v>824</v>
      </c>
      <c r="P102" s="2487"/>
      <c r="Q102" s="2515"/>
    </row>
    <row r="103" spans="1:17" ht="24.95" customHeight="1" thickBot="1">
      <c r="A103" s="1807"/>
      <c r="B103" s="2545" t="s">
        <v>773</v>
      </c>
      <c r="C103" s="2546"/>
      <c r="D103" s="2547"/>
      <c r="E103" s="2547"/>
      <c r="F103" s="2513"/>
      <c r="O103" s="2505" t="s">
        <v>773</v>
      </c>
      <c r="P103" s="2487"/>
      <c r="Q103" s="2515"/>
    </row>
    <row r="104" spans="1:17" ht="24.95" customHeight="1" thickBot="1">
      <c r="A104" s="1807"/>
      <c r="B104" s="2548" t="s">
        <v>65</v>
      </c>
      <c r="C104" s="2549"/>
      <c r="D104" s="2550"/>
      <c r="E104" s="2550"/>
      <c r="F104" s="2551"/>
      <c r="O104" s="2504" t="s">
        <v>65</v>
      </c>
      <c r="P104" s="2487"/>
      <c r="Q104" s="2515"/>
    </row>
    <row r="105" spans="1:17" ht="24.95" customHeight="1">
      <c r="A105" s="1807"/>
      <c r="B105" s="2552" t="s">
        <v>66</v>
      </c>
      <c r="C105" s="2541"/>
      <c r="D105" s="2542"/>
      <c r="E105" s="2542"/>
      <c r="F105" s="2543"/>
      <c r="O105" s="2504" t="s">
        <v>66</v>
      </c>
      <c r="P105" s="2487"/>
      <c r="Q105" s="2515"/>
    </row>
    <row r="106" spans="1:17" ht="24.95" customHeight="1">
      <c r="A106" s="1807"/>
      <c r="B106" s="2553" t="s">
        <v>774</v>
      </c>
      <c r="C106" s="2554"/>
      <c r="D106" s="2555"/>
      <c r="E106" s="2555"/>
      <c r="F106" s="2556"/>
      <c r="O106" s="2505" t="s">
        <v>67</v>
      </c>
      <c r="P106" s="2487"/>
      <c r="Q106" s="2515"/>
    </row>
    <row r="107" spans="1:17" ht="24.95" customHeight="1" thickBot="1">
      <c r="A107" s="1807"/>
      <c r="B107" s="2557" t="s">
        <v>775</v>
      </c>
      <c r="C107" s="2558"/>
      <c r="D107" s="2559"/>
      <c r="E107" s="2559"/>
      <c r="F107" s="2556"/>
      <c r="O107" s="2505" t="s">
        <v>825</v>
      </c>
      <c r="P107" s="2487"/>
      <c r="Q107" s="2515"/>
    </row>
    <row r="108" spans="1:17" ht="24.95" customHeight="1" thickBot="1">
      <c r="A108" s="1807"/>
      <c r="B108" s="2548" t="s">
        <v>826</v>
      </c>
      <c r="C108" s="2549"/>
      <c r="D108" s="2550"/>
      <c r="E108" s="2550"/>
      <c r="F108" s="2551"/>
      <c r="O108" s="2504" t="s">
        <v>826</v>
      </c>
      <c r="P108" s="2487"/>
      <c r="Q108" s="2515"/>
    </row>
    <row r="109" spans="1:17" ht="24.95" customHeight="1" thickBot="1">
      <c r="A109" s="1807"/>
      <c r="B109" s="2548" t="s">
        <v>252</v>
      </c>
      <c r="C109" s="2549"/>
      <c r="D109" s="2550"/>
      <c r="E109" s="2550"/>
      <c r="F109" s="2551"/>
      <c r="O109" s="2504" t="s">
        <v>252</v>
      </c>
      <c r="P109" s="2487"/>
      <c r="Q109" s="2515"/>
    </row>
    <row r="110" spans="1:17" ht="24.95" customHeight="1" thickBot="1">
      <c r="A110" s="1807"/>
      <c r="B110" s="2560" t="s">
        <v>9</v>
      </c>
      <c r="C110" s="2561"/>
      <c r="D110" s="2547"/>
      <c r="E110" s="2547"/>
      <c r="F110" s="2551"/>
      <c r="O110" s="2504" t="s">
        <v>9</v>
      </c>
      <c r="P110" s="2487"/>
      <c r="Q110" s="2515"/>
    </row>
    <row r="111" spans="1:17" ht="24.95" customHeight="1">
      <c r="A111" s="1807"/>
      <c r="B111" s="2562" t="s">
        <v>776</v>
      </c>
      <c r="C111" s="2541"/>
      <c r="D111" s="2542"/>
      <c r="E111" s="2542"/>
      <c r="F111" s="2543"/>
      <c r="O111" s="2504" t="s">
        <v>776</v>
      </c>
      <c r="P111" s="2487"/>
      <c r="Q111" s="2515"/>
    </row>
    <row r="112" spans="1:17" ht="24.95" customHeight="1" thickBot="1">
      <c r="A112" s="1807"/>
      <c r="B112" s="2557" t="s">
        <v>782</v>
      </c>
      <c r="C112" s="2546"/>
      <c r="D112" s="2563"/>
      <c r="E112" s="2563"/>
      <c r="F112" s="2513"/>
      <c r="O112" s="2505" t="s">
        <v>783</v>
      </c>
      <c r="P112" s="2487"/>
      <c r="Q112" s="2515"/>
    </row>
    <row r="113" spans="1:17" ht="24.95" customHeight="1">
      <c r="A113" s="1807"/>
      <c r="B113" s="2540" t="s">
        <v>230</v>
      </c>
      <c r="C113" s="2541"/>
      <c r="D113" s="2542"/>
      <c r="E113" s="2542"/>
      <c r="F113" s="2543"/>
      <c r="O113" s="2504" t="s">
        <v>230</v>
      </c>
      <c r="P113" s="2487"/>
      <c r="Q113" s="2515"/>
    </row>
    <row r="114" spans="1:17" ht="24.95" customHeight="1" thickBot="1">
      <c r="A114" s="1807"/>
      <c r="B114" s="2564" t="s">
        <v>773</v>
      </c>
      <c r="C114" s="2546"/>
      <c r="D114" s="2563"/>
      <c r="E114" s="2563"/>
      <c r="F114" s="2565"/>
      <c r="O114" s="2505" t="s">
        <v>773</v>
      </c>
      <c r="P114" s="2487"/>
      <c r="Q114" s="2515"/>
    </row>
    <row r="115" spans="1:17" ht="24.95" customHeight="1" thickBot="1">
      <c r="A115" s="1807"/>
      <c r="B115" s="2566" t="s">
        <v>1537</v>
      </c>
      <c r="C115" s="2549"/>
      <c r="D115" s="2542"/>
      <c r="E115" s="2542"/>
      <c r="F115" s="2567"/>
      <c r="O115" s="2504" t="s">
        <v>827</v>
      </c>
      <c r="P115" s="2487"/>
      <c r="Q115" s="2515"/>
    </row>
    <row r="116" spans="1:17" ht="24.95" customHeight="1" thickBot="1">
      <c r="A116" s="1807"/>
      <c r="B116" s="2562" t="s">
        <v>257</v>
      </c>
      <c r="C116" s="2541"/>
      <c r="D116" s="2542"/>
      <c r="E116" s="2542"/>
      <c r="F116" s="2551"/>
      <c r="O116" s="2504" t="s">
        <v>257</v>
      </c>
      <c r="P116" s="2487"/>
      <c r="Q116" s="2515"/>
    </row>
    <row r="117" spans="1:17" ht="24.95" customHeight="1" thickBot="1">
      <c r="A117" s="1807"/>
      <c r="B117" s="2568"/>
      <c r="C117" s="2541"/>
      <c r="D117" s="2569"/>
      <c r="E117" s="2569"/>
      <c r="F117" s="2570" t="s">
        <v>1300</v>
      </c>
      <c r="O117" s="2487"/>
      <c r="P117" s="2487"/>
      <c r="Q117" s="2515"/>
    </row>
    <row r="118" spans="1:17" ht="24.95" customHeight="1" thickBot="1">
      <c r="A118" s="1807"/>
      <c r="B118" s="2571" t="s">
        <v>1538</v>
      </c>
      <c r="C118" s="2549"/>
      <c r="D118" s="2550"/>
      <c r="E118" s="2550"/>
      <c r="F118" s="2551" t="s">
        <v>1300</v>
      </c>
      <c r="O118" s="2504" t="s">
        <v>74</v>
      </c>
      <c r="P118" s="2487"/>
      <c r="Q118" s="2515"/>
    </row>
    <row r="119" spans="1:17" ht="24.95" customHeight="1" thickBot="1">
      <c r="A119" s="1807"/>
      <c r="B119" s="2572" t="s">
        <v>223</v>
      </c>
      <c r="C119" s="2549"/>
      <c r="D119" s="2550"/>
      <c r="E119" s="2550"/>
      <c r="F119" s="2551"/>
      <c r="O119" s="2504" t="s">
        <v>223</v>
      </c>
      <c r="P119" s="2487"/>
      <c r="Q119" s="2515"/>
    </row>
    <row r="120" spans="1:17" ht="24.95" customHeight="1" thickBot="1">
      <c r="A120" s="1807"/>
      <c r="B120" s="2572" t="s">
        <v>1539</v>
      </c>
      <c r="C120" s="2549"/>
      <c r="D120" s="2550"/>
      <c r="E120" s="2550"/>
      <c r="F120" s="2551"/>
      <c r="O120" s="2504" t="s">
        <v>259</v>
      </c>
      <c r="P120" s="2487"/>
      <c r="Q120" s="2515"/>
    </row>
    <row r="121" spans="1:17">
      <c r="O121" s="1690"/>
      <c r="P121" s="1690"/>
      <c r="Q121" s="1690"/>
    </row>
    <row r="122" spans="1:17" ht="12.75" customHeight="1">
      <c r="B122" s="4198" t="s">
        <v>924</v>
      </c>
      <c r="C122" s="4198"/>
      <c r="D122" s="4198"/>
      <c r="E122" s="4198"/>
      <c r="F122" s="4198"/>
      <c r="G122" s="1690"/>
      <c r="H122" s="1690"/>
      <c r="I122" s="1690"/>
      <c r="J122" s="1690"/>
      <c r="O122" s="1690"/>
      <c r="P122" s="1690"/>
      <c r="Q122" s="1690"/>
    </row>
    <row r="123" spans="1:17" s="2573" customFormat="1" ht="12.75" customHeight="1">
      <c r="B123" s="4199" t="s">
        <v>925</v>
      </c>
      <c r="C123" s="4199"/>
      <c r="D123" s="4199"/>
      <c r="E123" s="4199"/>
      <c r="F123" s="4199"/>
      <c r="G123" s="2574"/>
      <c r="H123" s="1690"/>
      <c r="I123" s="1690"/>
      <c r="J123" s="1690"/>
      <c r="K123" s="400"/>
      <c r="L123" s="2278"/>
      <c r="M123" s="400"/>
      <c r="O123" s="2575"/>
      <c r="P123" s="2575"/>
      <c r="Q123" s="2575"/>
    </row>
    <row r="124" spans="1:17" s="2576" customFormat="1" ht="12.75" customHeight="1">
      <c r="B124" s="1080"/>
      <c r="C124" s="2577"/>
      <c r="D124" s="4197"/>
      <c r="E124" s="4197"/>
      <c r="F124" s="4197"/>
      <c r="G124" s="402"/>
      <c r="H124" s="2578"/>
      <c r="I124" s="2578"/>
      <c r="J124" s="2578"/>
      <c r="K124" s="2573"/>
      <c r="L124" s="2579"/>
      <c r="M124" s="2573"/>
      <c r="O124" s="2580"/>
      <c r="P124" s="2580"/>
      <c r="Q124" s="2580"/>
    </row>
    <row r="125" spans="1:17" s="2581" customFormat="1" ht="12.75" customHeight="1" thickBot="1">
      <c r="B125" s="1690"/>
      <c r="C125" s="1690"/>
      <c r="D125" s="2582"/>
      <c r="E125" s="2583"/>
      <c r="F125" s="2583"/>
      <c r="G125" s="402"/>
      <c r="H125" s="402"/>
      <c r="I125" s="402"/>
      <c r="J125" s="402"/>
      <c r="K125" s="2576"/>
      <c r="L125" s="2584"/>
      <c r="M125" s="2576"/>
      <c r="O125" s="2585"/>
      <c r="P125" s="2585"/>
      <c r="Q125" s="2585"/>
    </row>
    <row r="126" spans="1:17" s="2576" customFormat="1" ht="12.75" customHeight="1">
      <c r="B126" s="400"/>
      <c r="C126" s="400"/>
      <c r="D126" s="2586" t="s">
        <v>918</v>
      </c>
      <c r="E126" s="2583"/>
      <c r="F126" s="2583"/>
      <c r="G126" s="402"/>
      <c r="H126" s="402"/>
      <c r="I126" s="4196"/>
      <c r="J126" s="4196"/>
      <c r="K126" s="2581"/>
      <c r="L126" s="2587"/>
      <c r="M126" s="2581"/>
      <c r="O126" s="2580"/>
      <c r="P126" s="2580"/>
      <c r="Q126" s="2580"/>
    </row>
    <row r="127" spans="1:17" s="2581" customFormat="1" ht="12.75" customHeight="1" thickBot="1">
      <c r="B127" s="400"/>
      <c r="C127" s="400"/>
      <c r="D127" s="2588" t="s">
        <v>919</v>
      </c>
      <c r="E127" s="2583"/>
      <c r="F127" s="2583"/>
      <c r="G127" s="402"/>
      <c r="H127" s="402"/>
      <c r="I127" s="4195"/>
      <c r="J127" s="4195"/>
      <c r="K127" s="2576"/>
      <c r="L127" s="2584"/>
      <c r="M127" s="2576"/>
      <c r="O127" s="2585"/>
      <c r="P127" s="2585"/>
      <c r="Q127" s="2585"/>
    </row>
    <row r="128" spans="1:17" s="2576" customFormat="1" ht="12.75" customHeight="1" thickBot="1">
      <c r="A128" s="1626"/>
      <c r="B128" s="2589" t="s">
        <v>920</v>
      </c>
      <c r="C128" s="2590"/>
      <c r="D128" s="2591">
        <f>I11</f>
        <v>0</v>
      </c>
      <c r="E128" s="2583"/>
      <c r="F128" s="2583"/>
      <c r="G128" s="402"/>
      <c r="H128" s="402"/>
      <c r="I128" s="1623"/>
      <c r="J128" s="1623"/>
      <c r="K128" s="2581"/>
      <c r="L128" s="2587"/>
      <c r="M128" s="2581"/>
      <c r="O128" s="2580"/>
      <c r="P128" s="2580"/>
      <c r="Q128" s="2580"/>
    </row>
    <row r="129" spans="1:17" s="2576" customFormat="1" ht="12.75" customHeight="1" thickBot="1">
      <c r="A129" s="1626"/>
      <c r="B129" s="2589" t="s">
        <v>921</v>
      </c>
      <c r="C129" s="2590"/>
      <c r="D129" s="2591">
        <f>J11</f>
        <v>0</v>
      </c>
      <c r="E129" s="2583"/>
      <c r="F129" s="2583"/>
      <c r="G129" s="402"/>
      <c r="H129" s="402"/>
      <c r="I129" s="1623"/>
      <c r="J129" s="1623"/>
      <c r="K129" s="2584"/>
      <c r="O129" s="2580"/>
      <c r="P129" s="2580"/>
      <c r="Q129" s="2580"/>
    </row>
    <row r="130" spans="1:17" s="2576" customFormat="1" ht="12.75" customHeight="1" thickBot="1">
      <c r="A130" s="1626"/>
      <c r="B130" s="2589"/>
      <c r="C130" s="2590"/>
      <c r="D130" s="2591"/>
      <c r="E130" s="2583"/>
      <c r="F130" s="2583"/>
      <c r="G130" s="402"/>
      <c r="H130" s="402"/>
      <c r="I130" s="1623"/>
      <c r="J130" s="1623"/>
      <c r="K130" s="2584"/>
      <c r="O130" s="2580"/>
      <c r="P130" s="2580"/>
      <c r="Q130" s="2580"/>
    </row>
    <row r="131" spans="1:17" s="2576" customFormat="1" ht="12.75" customHeight="1" thickBot="1">
      <c r="A131" s="1626"/>
      <c r="B131" s="400"/>
      <c r="C131" s="400"/>
      <c r="D131" s="400"/>
      <c r="E131" s="2583"/>
      <c r="F131" s="2583"/>
      <c r="G131" s="402"/>
      <c r="H131" s="402"/>
      <c r="I131" s="1623"/>
      <c r="J131" s="1623"/>
      <c r="K131" s="2584"/>
      <c r="O131" s="2580"/>
      <c r="P131" s="2580"/>
      <c r="Q131" s="2580"/>
    </row>
    <row r="132" spans="1:17" s="2576" customFormat="1" ht="12.75" customHeight="1" thickBot="1">
      <c r="A132" s="1626"/>
      <c r="B132" s="1708"/>
      <c r="C132" s="2592" t="s">
        <v>922</v>
      </c>
      <c r="D132" s="2593" t="s">
        <v>923</v>
      </c>
      <c r="E132" s="2583"/>
      <c r="F132" s="2583"/>
      <c r="G132" s="402"/>
      <c r="H132" s="402"/>
      <c r="I132" s="1623"/>
      <c r="J132" s="1623"/>
      <c r="K132" s="2584"/>
      <c r="O132" s="2580"/>
      <c r="P132" s="2580"/>
      <c r="Q132" s="2580"/>
    </row>
    <row r="133" spans="1:17" s="2576" customFormat="1" ht="12.75" customHeight="1" thickBot="1">
      <c r="A133" s="1626"/>
      <c r="B133" s="2594" t="s">
        <v>1244</v>
      </c>
      <c r="C133" s="519"/>
      <c r="D133" s="519" t="s">
        <v>808</v>
      </c>
      <c r="E133" s="402"/>
      <c r="F133" s="402"/>
      <c r="G133" s="402"/>
      <c r="H133" s="402"/>
      <c r="I133" s="402"/>
      <c r="J133" s="402"/>
      <c r="K133" s="2584"/>
      <c r="O133" s="2580"/>
      <c r="P133" s="2580"/>
      <c r="Q133" s="2580"/>
    </row>
    <row r="134" spans="1:17" ht="15">
      <c r="A134" s="1556"/>
      <c r="B134" s="401"/>
      <c r="C134" s="1595"/>
      <c r="D134" s="1595"/>
      <c r="E134" s="1690"/>
      <c r="F134" s="1690"/>
      <c r="G134" s="1690"/>
      <c r="H134" s="402"/>
      <c r="I134" s="402"/>
      <c r="J134" s="402"/>
      <c r="K134" s="2576"/>
      <c r="L134" s="2584"/>
      <c r="M134" s="2576"/>
      <c r="O134" s="1690"/>
      <c r="P134" s="1690"/>
      <c r="Q134" s="1690"/>
    </row>
    <row r="135" spans="1:17">
      <c r="A135" s="1556"/>
      <c r="B135" s="401"/>
      <c r="C135" s="1595"/>
      <c r="D135" s="1595"/>
      <c r="O135" s="1690"/>
      <c r="P135" s="1690"/>
      <c r="Q135" s="1690"/>
    </row>
    <row r="136" spans="1:17">
      <c r="A136" s="1556"/>
      <c r="B136" s="401"/>
      <c r="C136" s="401"/>
      <c r="D136" s="401"/>
      <c r="O136" s="1690"/>
      <c r="P136" s="1690"/>
      <c r="Q136" s="1690"/>
    </row>
    <row r="137" spans="1:17">
      <c r="A137" s="1556"/>
      <c r="B137" s="401"/>
      <c r="C137" s="401"/>
      <c r="D137" s="401"/>
      <c r="O137" s="1690"/>
      <c r="P137" s="1690"/>
      <c r="Q137" s="1690"/>
    </row>
    <row r="138" spans="1:17">
      <c r="A138" s="1556"/>
      <c r="B138" s="401"/>
      <c r="C138" s="401"/>
      <c r="D138" s="401"/>
      <c r="O138" s="1690"/>
      <c r="P138" s="1690"/>
      <c r="Q138" s="1690"/>
    </row>
    <row r="139" spans="1:17">
      <c r="A139" s="1556"/>
      <c r="B139" s="401"/>
      <c r="C139" s="401"/>
      <c r="D139" s="401"/>
      <c r="O139" s="1690"/>
      <c r="P139" s="1690"/>
      <c r="Q139" s="1690"/>
    </row>
    <row r="140" spans="1:17">
      <c r="O140" s="1690"/>
      <c r="P140" s="1690"/>
      <c r="Q140" s="1690"/>
    </row>
    <row r="141" spans="1:17">
      <c r="O141" s="1690"/>
      <c r="P141" s="1690"/>
      <c r="Q141" s="1690"/>
    </row>
    <row r="142" spans="1:17">
      <c r="O142" s="1690"/>
      <c r="P142" s="1690"/>
      <c r="Q142" s="1690"/>
    </row>
    <row r="143" spans="1:17">
      <c r="O143" s="1690"/>
      <c r="P143" s="1690"/>
      <c r="Q143" s="1690"/>
    </row>
    <row r="144" spans="1:17">
      <c r="O144" s="1690"/>
      <c r="P144" s="1690"/>
      <c r="Q144" s="1690"/>
    </row>
    <row r="145" spans="15:17">
      <c r="O145" s="1690"/>
      <c r="P145" s="1690"/>
      <c r="Q145" s="1690"/>
    </row>
    <row r="146" spans="15:17">
      <c r="O146" s="1690"/>
      <c r="P146" s="1690"/>
      <c r="Q146" s="1690"/>
    </row>
    <row r="147" spans="15:17">
      <c r="O147" s="1690"/>
      <c r="P147" s="1690"/>
      <c r="Q147" s="1690"/>
    </row>
    <row r="148" spans="15:17">
      <c r="O148" s="1690"/>
      <c r="P148" s="1690"/>
      <c r="Q148" s="1690"/>
    </row>
    <row r="149" spans="15:17">
      <c r="O149" s="1690"/>
      <c r="P149" s="1690"/>
      <c r="Q149" s="1690"/>
    </row>
    <row r="150" spans="15:17">
      <c r="O150" s="1690"/>
      <c r="P150" s="1690"/>
      <c r="Q150" s="1690"/>
    </row>
    <row r="151" spans="15:17">
      <c r="O151" s="1690"/>
      <c r="P151" s="1690"/>
      <c r="Q151" s="1690"/>
    </row>
    <row r="152" spans="15:17">
      <c r="O152" s="1690"/>
      <c r="P152" s="1690"/>
      <c r="Q152" s="1690"/>
    </row>
    <row r="153" spans="15:17">
      <c r="O153" s="1690"/>
      <c r="P153" s="1690"/>
      <c r="Q153" s="1690"/>
    </row>
    <row r="154" spans="15:17">
      <c r="O154" s="1690"/>
      <c r="P154" s="1690"/>
      <c r="Q154" s="1690"/>
    </row>
    <row r="155" spans="15:17">
      <c r="O155" s="1690"/>
      <c r="P155" s="1690"/>
      <c r="Q155" s="1690"/>
    </row>
    <row r="156" spans="15:17">
      <c r="O156" s="1690"/>
      <c r="P156" s="1690"/>
      <c r="Q156" s="1690"/>
    </row>
    <row r="157" spans="15:17">
      <c r="O157" s="1690"/>
      <c r="P157" s="1690"/>
      <c r="Q157" s="1690"/>
    </row>
    <row r="158" spans="15:17">
      <c r="O158" s="1690"/>
      <c r="P158" s="1690"/>
      <c r="Q158" s="1690"/>
    </row>
    <row r="159" spans="15:17">
      <c r="O159" s="1690"/>
      <c r="P159" s="1690"/>
      <c r="Q159" s="1690"/>
    </row>
    <row r="160" spans="15:17">
      <c r="O160" s="1690"/>
      <c r="P160" s="1690"/>
      <c r="Q160" s="1690"/>
    </row>
    <row r="161" spans="15:17">
      <c r="O161" s="1690"/>
      <c r="P161" s="1690"/>
      <c r="Q161" s="1690"/>
    </row>
    <row r="162" spans="15:17">
      <c r="O162" s="1690"/>
      <c r="P162" s="1690"/>
      <c r="Q162" s="1690"/>
    </row>
    <row r="163" spans="15:17">
      <c r="O163" s="1690"/>
      <c r="P163" s="1690"/>
      <c r="Q163" s="1690"/>
    </row>
    <row r="164" spans="15:17">
      <c r="O164" s="1690"/>
      <c r="P164" s="1690"/>
      <c r="Q164" s="1690"/>
    </row>
    <row r="165" spans="15:17">
      <c r="O165" s="1690"/>
      <c r="P165" s="1690"/>
      <c r="Q165" s="1690"/>
    </row>
    <row r="166" spans="15:17">
      <c r="O166" s="1690"/>
      <c r="P166" s="1690"/>
      <c r="Q166" s="1690"/>
    </row>
    <row r="167" spans="15:17">
      <c r="O167" s="1690"/>
      <c r="P167" s="1690"/>
      <c r="Q167" s="1690"/>
    </row>
    <row r="168" spans="15:17">
      <c r="O168" s="1690"/>
      <c r="P168" s="1690"/>
      <c r="Q168" s="1690"/>
    </row>
    <row r="169" spans="15:17">
      <c r="O169" s="1690"/>
      <c r="P169" s="1690"/>
      <c r="Q169" s="1690"/>
    </row>
    <row r="170" spans="15:17">
      <c r="O170" s="1690"/>
      <c r="P170" s="1690"/>
      <c r="Q170" s="1690"/>
    </row>
    <row r="171" spans="15:17">
      <c r="O171" s="1690"/>
      <c r="P171" s="1690"/>
      <c r="Q171" s="1690"/>
    </row>
    <row r="172" spans="15:17">
      <c r="O172" s="1690"/>
      <c r="P172" s="1690"/>
      <c r="Q172" s="1690"/>
    </row>
    <row r="173" spans="15:17">
      <c r="O173" s="1690"/>
      <c r="P173" s="1690"/>
      <c r="Q173" s="1690"/>
    </row>
    <row r="174" spans="15:17">
      <c r="O174" s="1690"/>
      <c r="P174" s="1690"/>
      <c r="Q174" s="1690"/>
    </row>
    <row r="175" spans="15:17">
      <c r="O175" s="1690"/>
      <c r="P175" s="1690"/>
      <c r="Q175" s="1690"/>
    </row>
    <row r="176" spans="15:17">
      <c r="O176" s="1690"/>
      <c r="P176" s="1690"/>
      <c r="Q176" s="1690"/>
    </row>
    <row r="177" spans="15:17">
      <c r="O177" s="1690"/>
      <c r="P177" s="1690"/>
      <c r="Q177" s="1690"/>
    </row>
    <row r="207" spans="2:2" ht="12.75" customHeight="1">
      <c r="B207" s="1690"/>
    </row>
    <row r="208" spans="2:2" ht="12.75" customHeight="1">
      <c r="B208" s="1690"/>
    </row>
    <row r="209" spans="2:2" ht="12.75" customHeight="1">
      <c r="B209" s="1690"/>
    </row>
    <row r="210" spans="2:2" ht="12.75" customHeight="1">
      <c r="B210" s="1690"/>
    </row>
    <row r="211" spans="2:2" ht="12.75" customHeight="1"/>
    <row r="212" spans="2:2" ht="12.75" customHeight="1"/>
    <row r="213" spans="2:2" ht="12.75" customHeight="1"/>
    <row r="214" spans="2:2" ht="12.75" customHeight="1"/>
    <row r="215" spans="2:2" ht="12.75" customHeight="1"/>
    <row r="216" spans="2:2" ht="12.75" customHeight="1"/>
    <row r="217" spans="2:2" ht="12.75" customHeight="1"/>
    <row r="218" spans="2:2" ht="12.75" customHeight="1"/>
    <row r="219" spans="2:2" ht="12.75" customHeight="1"/>
    <row r="220" spans="2:2" ht="12.75" customHeight="1"/>
    <row r="221" spans="2:2" ht="12.75" customHeight="1"/>
    <row r="222" spans="2:2" ht="12.75" customHeight="1"/>
    <row r="223" spans="2:2" ht="12.75" customHeight="1"/>
    <row r="224" spans="2:2" ht="12.75" customHeight="1"/>
    <row r="225" spans="2:2" ht="12.75" customHeight="1"/>
    <row r="226" spans="2:2" ht="12.75" customHeight="1">
      <c r="B226" s="1690"/>
    </row>
  </sheetData>
  <sheetProtection selectLockedCells="1"/>
  <mergeCells count="38">
    <mergeCell ref="B64:F64"/>
    <mergeCell ref="H90:K90"/>
    <mergeCell ref="G17:H17"/>
    <mergeCell ref="G18:H18"/>
    <mergeCell ref="J53:K53"/>
    <mergeCell ref="B17:F17"/>
    <mergeCell ref="B18:F18"/>
    <mergeCell ref="C20:F20"/>
    <mergeCell ref="G19:H19"/>
    <mergeCell ref="I17:I18"/>
    <mergeCell ref="B35:B36"/>
    <mergeCell ref="I21:I22"/>
    <mergeCell ref="I19:I20"/>
    <mergeCell ref="G20:H20"/>
    <mergeCell ref="B76:C76"/>
    <mergeCell ref="B73:E73"/>
    <mergeCell ref="B75:C75"/>
    <mergeCell ref="I127:J127"/>
    <mergeCell ref="I126:J126"/>
    <mergeCell ref="D124:F124"/>
    <mergeCell ref="B122:F122"/>
    <mergeCell ref="B123:F123"/>
    <mergeCell ref="H83:K83"/>
    <mergeCell ref="H88:K88"/>
    <mergeCell ref="B63:F63"/>
    <mergeCell ref="B1:H1"/>
    <mergeCell ref="B2:H2"/>
    <mergeCell ref="G10:H10"/>
    <mergeCell ref="G13:H13"/>
    <mergeCell ref="C16:F16"/>
    <mergeCell ref="B5:D5"/>
    <mergeCell ref="E5:H5"/>
    <mergeCell ref="B6:D6"/>
    <mergeCell ref="E6:H6"/>
    <mergeCell ref="B7:D7"/>
    <mergeCell ref="E7:H7"/>
    <mergeCell ref="F8:H8"/>
    <mergeCell ref="C8:D8"/>
  </mergeCells>
  <phoneticPr fontId="40" type="noConversion"/>
  <conditionalFormatting sqref="G10">
    <cfRule type="cellIs" dxfId="508" priority="70" operator="equal">
      <formula>""""""</formula>
    </cfRule>
  </conditionalFormatting>
  <conditionalFormatting sqref="D32:G32">
    <cfRule type="cellIs" dxfId="507" priority="66" operator="equal">
      <formula>0</formula>
    </cfRule>
  </conditionalFormatting>
  <conditionalFormatting sqref="H15">
    <cfRule type="expression" dxfId="506" priority="57">
      <formula>$B$14="ja"</formula>
    </cfRule>
  </conditionalFormatting>
  <conditionalFormatting sqref="H15">
    <cfRule type="cellIs" dxfId="505" priority="56" operator="greaterThan">
      <formula>0</formula>
    </cfRule>
  </conditionalFormatting>
  <conditionalFormatting sqref="D55">
    <cfRule type="expression" dxfId="504" priority="47">
      <formula>$D$53&lt;2017</formula>
    </cfRule>
    <cfRule type="expression" dxfId="503" priority="48">
      <formula>$D$53&gt;=2017</formula>
    </cfRule>
    <cfRule type="expression" dxfId="502" priority="49">
      <formula>$D$42&gt;=2017</formula>
    </cfRule>
    <cfRule type="expression" dxfId="501" priority="50">
      <formula>$D$42&lt;2017</formula>
    </cfRule>
  </conditionalFormatting>
  <conditionalFormatting sqref="D45:E45">
    <cfRule type="expression" dxfId="500" priority="46">
      <formula>$D$43&gt;=2017</formula>
    </cfRule>
  </conditionalFormatting>
  <conditionalFormatting sqref="B50:G50">
    <cfRule type="expression" dxfId="499" priority="44">
      <formula>$D$43&gt;=2017</formula>
    </cfRule>
  </conditionalFormatting>
  <conditionalFormatting sqref="F46:G49">
    <cfRule type="expression" dxfId="498" priority="43">
      <formula>$D$43&gt;=2017</formula>
    </cfRule>
  </conditionalFormatting>
  <conditionalFormatting sqref="F56:G60 B60:E60">
    <cfRule type="expression" dxfId="497" priority="42">
      <formula>$D$53&gt;=2017</formula>
    </cfRule>
  </conditionalFormatting>
  <conditionalFormatting sqref="G23:G31">
    <cfRule type="cellIs" dxfId="496" priority="40" operator="equal">
      <formula>0</formula>
    </cfRule>
    <cfRule type="containsErrors" dxfId="495" priority="75">
      <formula>ISERROR(G23)</formula>
    </cfRule>
  </conditionalFormatting>
  <conditionalFormatting sqref="I23:I32">
    <cfRule type="containsErrors" dxfId="494" priority="38">
      <formula>ISERROR(I23)</formula>
    </cfRule>
  </conditionalFormatting>
  <conditionalFormatting sqref="I33">
    <cfRule type="containsErrors" dxfId="493" priority="34">
      <formula>ISERROR(I33)</formula>
    </cfRule>
  </conditionalFormatting>
  <conditionalFormatting sqref="I19">
    <cfRule type="containsErrors" dxfId="492" priority="33">
      <formula>ISERROR(I19)</formula>
    </cfRule>
  </conditionalFormatting>
  <conditionalFormatting sqref="F103 F106:F107 F112 F114">
    <cfRule type="cellIs" dxfId="491" priority="32" operator="equal">
      <formula>0</formula>
    </cfRule>
  </conditionalFormatting>
  <conditionalFormatting sqref="D103:E103 D106:E107 D112:E112 D114:E114">
    <cfRule type="cellIs" dxfId="490" priority="31" operator="equal">
      <formula>0</formula>
    </cfRule>
  </conditionalFormatting>
  <conditionalFormatting sqref="E55">
    <cfRule type="expression" dxfId="489" priority="30">
      <formula>D53&gt;=2017</formula>
    </cfRule>
  </conditionalFormatting>
  <conditionalFormatting sqref="B6:D6">
    <cfRule type="expression" dxfId="488" priority="27">
      <formula>B12=""</formula>
    </cfRule>
  </conditionalFormatting>
  <conditionalFormatting sqref="B54">
    <cfRule type="expression" dxfId="487" priority="23">
      <formula>ISNUMBER(C54)</formula>
    </cfRule>
  </conditionalFormatting>
  <conditionalFormatting sqref="I11:I12">
    <cfRule type="expression" dxfId="486" priority="22">
      <formula>$B$14="ja"</formula>
    </cfRule>
  </conditionalFormatting>
  <conditionalFormatting sqref="I11:I12">
    <cfRule type="notContainsBlanks" dxfId="485" priority="21">
      <formula>LEN(TRIM(I11))&gt;0</formula>
    </cfRule>
  </conditionalFormatting>
  <conditionalFormatting sqref="D128:D129">
    <cfRule type="cellIs" dxfId="484" priority="20" operator="equal">
      <formula>0</formula>
    </cfRule>
  </conditionalFormatting>
  <conditionalFormatting sqref="E19 E21:E32">
    <cfRule type="expression" dxfId="483" priority="19">
      <formula>$C$19=2016</formula>
    </cfRule>
  </conditionalFormatting>
  <conditionalFormatting sqref="E21:E32">
    <cfRule type="expression" dxfId="482" priority="18">
      <formula>$C$19=2016</formula>
    </cfRule>
  </conditionalFormatting>
  <conditionalFormatting sqref="J11">
    <cfRule type="expression" dxfId="481" priority="17">
      <formula>$B$14="ja"</formula>
    </cfRule>
  </conditionalFormatting>
  <conditionalFormatting sqref="J11">
    <cfRule type="notContainsBlanks" dxfId="480" priority="16">
      <formula>LEN(TRIM(J11))&gt;0</formula>
    </cfRule>
  </conditionalFormatting>
  <conditionalFormatting sqref="F72">
    <cfRule type="expression" dxfId="479" priority="15">
      <formula>$B$14="ja"</formula>
    </cfRule>
  </conditionalFormatting>
  <conditionalFormatting sqref="F72">
    <cfRule type="notContainsBlanks" dxfId="478" priority="14">
      <formula>LEN(TRIM(F72))&gt;0</formula>
    </cfRule>
  </conditionalFormatting>
  <conditionalFormatting sqref="G33">
    <cfRule type="cellIs" dxfId="477" priority="11" operator="equal">
      <formula>0</formula>
    </cfRule>
    <cfRule type="containsErrors" dxfId="476" priority="12">
      <formula>ISERROR(G33)</formula>
    </cfRule>
  </conditionalFormatting>
  <conditionalFormatting sqref="J55">
    <cfRule type="expression" dxfId="475" priority="5">
      <formula>I53&gt;=2017</formula>
    </cfRule>
  </conditionalFormatting>
  <conditionalFormatting sqref="J66:K70">
    <cfRule type="notContainsBlanks" dxfId="474" priority="2">
      <formula>LEN(TRIM(J66))&gt;0</formula>
    </cfRule>
  </conditionalFormatting>
  <conditionalFormatting sqref="K67:K70">
    <cfRule type="cellIs" dxfId="473" priority="4" operator="greaterThan">
      <formula>0</formula>
    </cfRule>
  </conditionalFormatting>
  <conditionalFormatting sqref="J66:K70">
    <cfRule type="expression" dxfId="472" priority="3">
      <formula>$B$14="ja"</formula>
    </cfRule>
  </conditionalFormatting>
  <conditionalFormatting sqref="E67:E70">
    <cfRule type="cellIs" dxfId="471" priority="1" operator="greaterThan">
      <formula>0</formula>
    </cfRule>
  </conditionalFormatting>
  <dataValidations xWindow="865" yWindow="641" count="24">
    <dataValidation type="list" allowBlank="1" showInputMessage="1" showErrorMessage="1" errorTitle="Falsche Eingabe!" error="Es ist nur ein kleines x erlaubt." sqref="B14">
      <formula1>"nein,ja"</formula1>
    </dataValidation>
    <dataValidation type="list" allowBlank="1" showInputMessage="1" showErrorMessage="1" sqref="G10">
      <mc:AlternateContent xmlns:x12ac="http://schemas.microsoft.com/office/spreadsheetml/2011/1/ac" xmlns:mc="http://schemas.openxmlformats.org/markup-compatibility/2006">
        <mc:Choice Requires="x12ac">
          <x12ac:list>"""""",AWO MR,AWO NR,AWO OWL,AWO West,bad,bpa,CV AC,CV E,CV K,CV MS,CV PB,DBfK,DRK,DW,LfK,nicht organisiert,Der Paritätische NRW,VDAB,VKSB</x12ac:list>
        </mc:Choice>
        <mc:Fallback>
          <formula1>""""",AWO MR,AWO NR,AWO OWL,AWO West,bad,bpa,CV AC,CV E,CV K,CV MS,CV PB,DBfK,DRK,DW,LfK,nicht organisiert,Der Paritätische NRW,VDAB,VKSB"</formula1>
        </mc:Fallback>
      </mc:AlternateContent>
    </dataValidation>
    <dataValidation type="list" allowBlank="1" showInputMessage="1" showErrorMessage="1" sqref="H15">
      <formula1>"entfällt,ja,nein"</formula1>
    </dataValidation>
    <dataValidation type="list" allowBlank="1" showInputMessage="1" showErrorMessage="1" sqref="B13 B11">
      <formula1>"ja,nein"</formula1>
    </dataValidation>
    <dataValidation type="date" allowBlank="1" showErrorMessage="1" errorTitle="Falsche Eingabe" error="Eingaben sind erst ab 01.02.2017 möglich!" sqref="G21">
      <formula1>42767</formula1>
      <formula2>46388</formula2>
    </dataValidation>
    <dataValidation type="custom" allowBlank="1" showInputMessage="1" showErrorMessage="1" errorTitle="Falsche Eingabe" error="Bitte nur Zahlen gleich oder größer 1 eingeben!" promptTitle="Eingestr. Kurzzeitpflegeplätze" prompt="_x000a_Eine Eingabe ist nur erforderlich, wenn die Einrichtung lt. Versorgungsvertrag über Kurzzeitpflegeplätze verfügt. Eingabe von &quot;0&quot; ist nicht erforderlich." sqref="H12">
      <formula1>AND(H12=INT(H12),H12&gt;0)</formula1>
    </dataValidation>
    <dataValidation type="custom" allowBlank="1" showErrorMessage="1" errorTitle="Ungültige Eingabe" error="Das Feld &quot;Nein&quot; ist bereits ausgewählt!" sqref="C133">
      <formula1>IF(D133="x","","x")</formula1>
    </dataValidation>
    <dataValidation type="custom" allowBlank="1" showErrorMessage="1" errorTitle="Ungültige Eingabe" error="Das Feld &quot;Ja&quot; ist bereits ausgewählt!" sqref="D133">
      <formula1>IF(C133="x","","x")</formula1>
    </dataValidation>
    <dataValidation type="whole" allowBlank="1" showInputMessage="1" showErrorMessage="1" errorTitle="Fehlerhafte Eingabe" error="Es sind nur ganze Zahlen größer 0 erlaubt." sqref="H11">
      <formula1>1</formula1>
      <formula2>1000</formula2>
    </dataValidation>
    <dataValidation allowBlank="1" showInputMessage="1" showErrorMessage="1" promptTitle="Name der Einrichtung" prompt="_x000a_Bitte geben Sie hier den Namen der Einrichtung lt. Versorgungsvertrag an." sqref="B5:D5"/>
    <dataValidation type="custom" allowBlank="1" showInputMessage="1" showErrorMessage="1" prompt="Eine Eingabemöglichkeit ist für dieses Feld nicht vorgesehen." sqref="E6:H6">
      <formula1>0</formula1>
    </dataValidation>
    <dataValidation allowBlank="1" showInputMessage="1" showErrorMessage="1" promptTitle="Straße der Einrichtung" prompt="_x000a_Geben Sie hier die Straße der Einrichtung lt. Versorgungsvertrag ein." sqref="B7:D7"/>
    <dataValidation allowBlank="1" showInputMessage="1" showErrorMessage="1" promptTitle="Straße des Trägers" prompt="_x000a_Geben Sie hier die Straße des Trägers lt. Versorgungsvertrag ein._x000a_" sqref="E7:H7"/>
    <dataValidation allowBlank="1" showInputMessage="1" showErrorMessage="1" promptTitle="Postleitzahl der Einrichtung" prompt="_x000a_Geben Sie hier die PLZ der Einrichtung ein." sqref="B8"/>
    <dataValidation allowBlank="1" showInputMessage="1" showErrorMessage="1" promptTitle="Ort der Einrichtung" prompt="_x000a_Geben Sie hier den Ort der Einrichtung lt. Versorgungsvertrag ein." sqref="C8:D8"/>
    <dataValidation allowBlank="1" showInputMessage="1" showErrorMessage="1" promptTitle="Name des Trägers" prompt="_x000a_Geben Sie hier den Namen des Trägers lt. Versorgungsvertrag ein." sqref="E5:H5"/>
    <dataValidation allowBlank="1" showInputMessage="1" showErrorMessage="1" promptTitle="Postleitzahl Träger" prompt="_x000a_Geben Sie hier die PLZ des Trägers ein." sqref="E8"/>
    <dataValidation allowBlank="1" showInputMessage="1" showErrorMessage="1" promptTitle="Ort des Trägers" prompt="_x000a_Geben Sie hier den Ort des Trägers lt. Versorgungsvertrag ein." sqref="F8:H8"/>
    <dataValidation type="custom" showInputMessage="1" showErrorMessage="1" errorTitle="Zusatzeingabe Name Einrichtung" error="Eine Eingabe ist nur möglich, wenn zuvor in Zelle B 12 eine Auswahl getroffen wurde." sqref="B6:D6">
      <formula1>ISTEXT(B12)</formula1>
    </dataValidation>
    <dataValidation allowBlank="1" showInputMessage="1" showErrorMessage="1" promptTitle="Platzzahl für diesen Zeitraum" prompt="_x000a_Eingabe nur dann, wenn ab-_x000a_weichend von Zahl der Normal-_x000a_plätze. _x000a__x000a_Formel kann überschrieben werden." sqref="C44 C53 C65 H53 I65"/>
    <dataValidation allowBlank="1" showInputMessage="1" showErrorMessage="1" promptTitle="Anzahl Monate mit Ist-Belegung" prompt="_x000a_Die Hochrechnung erfolgt _x000a_durch die Einrichtung._x000a__x000a_Durch die Eingabe der _x000a_Anzahl der Monate erfolgt _x000a_keine automatische Hochrechnung _x000a_der Pflegetage." sqref="C54"/>
    <dataValidation type="list" allowBlank="1" showInputMessage="1" showErrorMessage="1" sqref="I1">
      <formula1>"BEK, BEK Schade,DAK,vdek"</formula1>
    </dataValidation>
    <dataValidation type="custom" showErrorMessage="1" errorTitle="Eingabe Einbettzimmer" error="Bitte geben Sie noch die Verteilung nach Ein- + Zweibettzimern in die Zellen I 11 + ggf. J 11 ein." sqref="G13:H13">
      <formula1>NOT(ISBLANK(I11))</formula1>
    </dataValidation>
    <dataValidation allowBlank="1" showInputMessage="1" showErrorMessage="1" errorTitle="Eingabe Einbettzimmer!" error="Bitte noch die Aufteilung Ein- + Zweibettzimmer einggeben." sqref="I11"/>
  </dataValidations>
  <pageMargins left="0.78740157499999996" right="0.78740157499999996" top="0.984251969" bottom="0.984251969" header="0.4921259845" footer="0.4921259845"/>
  <pageSetup paperSize="9" scale="72" orientation="landscape" r:id="rId1"/>
  <headerFooter alignWithMargins="0"/>
  <rowBreaks count="4" manualBreakCount="4">
    <brk id="40" min="1" max="9" man="1"/>
    <brk id="74" min="1" max="9" man="1"/>
    <brk id="99" min="1" max="9" man="1"/>
    <brk id="121" min="1" max="9"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1"/>
  <dimension ref="A1:CQ180"/>
  <sheetViews>
    <sheetView zoomScale="120" zoomScaleNormal="120" zoomScaleSheetLayoutView="120" workbookViewId="0"/>
  </sheetViews>
  <sheetFormatPr baseColWidth="10" defaultColWidth="11.42578125" defaultRowHeight="18" customHeight="1" outlineLevelRow="1"/>
  <cols>
    <col min="1" max="1" width="5.28515625" style="53" customWidth="1"/>
    <col min="2" max="2" width="2.42578125" style="53" customWidth="1"/>
    <col min="3" max="3" width="16.7109375" style="53" customWidth="1"/>
    <col min="4" max="4" width="11.42578125" style="53"/>
    <col min="5" max="5" width="10.5703125" style="53" customWidth="1"/>
    <col min="6" max="6" width="6.28515625" style="53" customWidth="1"/>
    <col min="7" max="7" width="14.5703125" style="53" customWidth="1"/>
    <col min="8" max="8" width="24.5703125" style="53" customWidth="1"/>
    <col min="9" max="9" width="3.42578125" style="53" customWidth="1"/>
    <col min="10" max="10" width="2.42578125" style="53" customWidth="1"/>
    <col min="11" max="11" width="16.7109375" style="53" customWidth="1"/>
    <col min="12" max="12" width="11.42578125" style="53" customWidth="1"/>
    <col min="13" max="13" width="10.140625" style="53" customWidth="1"/>
    <col min="14" max="14" width="2" style="53" customWidth="1"/>
    <col min="15" max="15" width="11.42578125" style="53" customWidth="1"/>
    <col min="16" max="16" width="32.7109375" style="53" customWidth="1"/>
    <col min="17" max="16384" width="11.42578125" style="53"/>
  </cols>
  <sheetData>
    <row r="1" spans="1:9" ht="18" customHeight="1" thickBot="1"/>
    <row r="2" spans="1:9" ht="18" customHeight="1">
      <c r="A2" s="3683"/>
      <c r="B2" s="3684"/>
      <c r="C2" s="3684"/>
      <c r="D2" s="3684"/>
      <c r="E2" s="3684"/>
      <c r="F2" s="3684"/>
      <c r="G2" s="3684"/>
      <c r="H2" s="3684"/>
      <c r="I2" s="3685"/>
    </row>
    <row r="3" spans="1:9" ht="18" customHeight="1">
      <c r="A3" s="4593" t="s">
        <v>810</v>
      </c>
      <c r="B3" s="4602"/>
      <c r="C3" s="4594"/>
      <c r="D3" s="4593" t="s">
        <v>82</v>
      </c>
      <c r="E3" s="4594"/>
      <c r="F3" s="3687"/>
      <c r="G3" s="4593" t="s">
        <v>262</v>
      </c>
      <c r="H3" s="4594"/>
      <c r="I3" s="3688"/>
    </row>
    <row r="4" spans="1:9" ht="18" customHeight="1">
      <c r="A4" s="4603">
        <v>1</v>
      </c>
      <c r="B4" s="4604"/>
      <c r="C4" s="4605"/>
      <c r="D4" s="4606"/>
      <c r="E4" s="4607"/>
      <c r="F4" s="3687"/>
      <c r="G4" s="3719" t="s">
        <v>2058</v>
      </c>
      <c r="H4" s="3721" t="e">
        <f>ROUND(H5*0.78,2)</f>
        <v>#DIV/0!</v>
      </c>
      <c r="I4" s="3688"/>
    </row>
    <row r="5" spans="1:9" ht="18" customHeight="1">
      <c r="A5" s="4595">
        <v>2</v>
      </c>
      <c r="B5" s="4596"/>
      <c r="C5" s="4597"/>
      <c r="D5" s="4606"/>
      <c r="E5" s="4607"/>
      <c r="F5" s="3687"/>
      <c r="G5" s="3717" t="s">
        <v>2059</v>
      </c>
      <c r="H5" s="3722" t="e">
        <f>ROUND((805+E16)/30.42,2)</f>
        <v>#DIV/0!</v>
      </c>
      <c r="I5" s="3688"/>
    </row>
    <row r="6" spans="1:9" ht="18" customHeight="1">
      <c r="A6" s="4595">
        <v>3</v>
      </c>
      <c r="B6" s="4596"/>
      <c r="C6" s="4597"/>
      <c r="D6" s="4606"/>
      <c r="E6" s="4607"/>
      <c r="F6" s="3687"/>
      <c r="G6" s="3717" t="s">
        <v>2060</v>
      </c>
      <c r="H6" s="3722" t="e">
        <f>ROUND((1319+E16)/30.42,2)</f>
        <v>#DIV/0!</v>
      </c>
      <c r="I6" s="3688"/>
    </row>
    <row r="7" spans="1:9" ht="18" customHeight="1">
      <c r="A7" s="4595">
        <v>4</v>
      </c>
      <c r="B7" s="4596"/>
      <c r="C7" s="4597"/>
      <c r="D7" s="4606"/>
      <c r="E7" s="4607"/>
      <c r="F7" s="3687"/>
      <c r="G7" s="3717" t="s">
        <v>2061</v>
      </c>
      <c r="H7" s="3722" t="e">
        <f>ROUND((1855+E16)/30.42,2)</f>
        <v>#DIV/0!</v>
      </c>
      <c r="I7" s="3688"/>
    </row>
    <row r="8" spans="1:9" ht="18" customHeight="1">
      <c r="A8" s="4598">
        <v>5</v>
      </c>
      <c r="B8" s="4599"/>
      <c r="C8" s="4600"/>
      <c r="D8" s="4608"/>
      <c r="E8" s="4609"/>
      <c r="F8" s="3687"/>
      <c r="G8" s="3718" t="s">
        <v>1444</v>
      </c>
      <c r="H8" s="3723" t="e">
        <f>ROUND((2096+E16)/30.42,2)</f>
        <v>#DIV/0!</v>
      </c>
      <c r="I8" s="3688"/>
    </row>
    <row r="9" spans="1:9" ht="18" customHeight="1">
      <c r="A9" s="3686"/>
      <c r="B9" s="3687"/>
      <c r="C9" s="3687"/>
      <c r="D9" s="3687"/>
      <c r="E9" s="3687"/>
      <c r="F9" s="3687"/>
      <c r="G9" s="3720"/>
      <c r="H9" s="3720"/>
      <c r="I9" s="3688"/>
    </row>
    <row r="10" spans="1:9" ht="18" customHeight="1">
      <c r="A10" s="4488" t="s">
        <v>982</v>
      </c>
      <c r="B10" s="4612"/>
      <c r="C10" s="4612"/>
      <c r="D10" s="4612"/>
      <c r="E10" s="4612"/>
      <c r="F10" s="4489"/>
      <c r="G10" s="3720"/>
      <c r="H10" s="3720"/>
      <c r="I10" s="3688"/>
    </row>
    <row r="11" spans="1:9" ht="18" customHeight="1">
      <c r="A11" s="986"/>
      <c r="B11" s="665"/>
      <c r="C11" s="3687"/>
      <c r="D11" s="3687"/>
      <c r="E11" s="3687"/>
      <c r="F11" s="3687"/>
      <c r="G11" s="3720"/>
      <c r="H11" s="3720"/>
      <c r="I11" s="3688"/>
    </row>
    <row r="12" spans="1:9" ht="18" customHeight="1">
      <c r="A12" s="4625" t="s">
        <v>971</v>
      </c>
      <c r="B12" s="4626"/>
      <c r="C12" s="4626"/>
      <c r="D12" s="4626"/>
      <c r="E12" s="4629"/>
      <c r="F12" s="4630"/>
      <c r="G12" s="3720"/>
      <c r="H12" s="3720"/>
      <c r="I12" s="3688"/>
    </row>
    <row r="13" spans="1:9" ht="18" customHeight="1">
      <c r="A13" s="1055" t="s">
        <v>985</v>
      </c>
      <c r="B13" s="2829"/>
      <c r="C13" s="3687"/>
      <c r="D13" s="3687"/>
      <c r="E13" s="4631">
        <f>D5*805+D6*1319+D7*1855+D8*2096</f>
        <v>0</v>
      </c>
      <c r="F13" s="4632"/>
      <c r="G13" s="3720"/>
      <c r="H13" s="3720"/>
      <c r="I13" s="3688"/>
    </row>
    <row r="14" spans="1:9" ht="18" customHeight="1" thickBot="1">
      <c r="A14" s="1055" t="s">
        <v>222</v>
      </c>
      <c r="B14" s="2829"/>
      <c r="C14" s="3687"/>
      <c r="D14" s="3687"/>
      <c r="E14" s="4633">
        <f>E12-E13</f>
        <v>0</v>
      </c>
      <c r="F14" s="4634"/>
      <c r="G14" s="3720"/>
      <c r="H14" s="3720"/>
      <c r="I14" s="3688"/>
    </row>
    <row r="15" spans="1:9" ht="18" customHeight="1" thickTop="1">
      <c r="A15" s="1055" t="s">
        <v>986</v>
      </c>
      <c r="B15" s="2829"/>
      <c r="C15" s="3687"/>
      <c r="D15" s="3687"/>
      <c r="E15" s="4635">
        <f>SUM(D5:E8)</f>
        <v>0</v>
      </c>
      <c r="F15" s="4636"/>
      <c r="G15" s="3720"/>
      <c r="H15" s="3720"/>
      <c r="I15" s="3688"/>
    </row>
    <row r="16" spans="1:9" ht="18" customHeight="1">
      <c r="A16" s="4627" t="s">
        <v>917</v>
      </c>
      <c r="B16" s="4628"/>
      <c r="C16" s="4628"/>
      <c r="D16" s="4628"/>
      <c r="E16" s="4637" t="e">
        <f>E14/E15</f>
        <v>#DIV/0!</v>
      </c>
      <c r="F16" s="4638"/>
      <c r="G16" s="3720"/>
      <c r="H16" s="3720"/>
      <c r="I16" s="3688"/>
    </row>
    <row r="17" spans="1:9" ht="18" customHeight="1">
      <c r="A17" s="1073" t="s">
        <v>987</v>
      </c>
      <c r="B17" s="540"/>
      <c r="C17" s="3716"/>
      <c r="D17" s="3716"/>
      <c r="E17" s="4610" t="e">
        <f>E16/30.42</f>
        <v>#DIV/0!</v>
      </c>
      <c r="F17" s="4611"/>
      <c r="G17" s="3687"/>
      <c r="H17" s="3687"/>
      <c r="I17" s="3688"/>
    </row>
    <row r="18" spans="1:9" ht="18" customHeight="1">
      <c r="A18" s="3686"/>
      <c r="B18" s="3687"/>
      <c r="C18" s="3687"/>
      <c r="D18" s="3687"/>
      <c r="E18" s="3687"/>
      <c r="F18" s="3687"/>
      <c r="G18" s="3687"/>
      <c r="H18" s="3687"/>
      <c r="I18" s="3688"/>
    </row>
    <row r="19" spans="1:9" ht="18" customHeight="1" thickBot="1">
      <c r="A19" s="3689"/>
      <c r="B19" s="3690"/>
      <c r="C19" s="3690"/>
      <c r="D19" s="3690"/>
      <c r="E19" s="3690"/>
      <c r="F19" s="3690"/>
      <c r="G19" s="3690"/>
      <c r="H19" s="3690"/>
      <c r="I19" s="3691"/>
    </row>
    <row r="21" spans="1:9" ht="20.25">
      <c r="A21" s="2825"/>
      <c r="B21" s="2825"/>
      <c r="C21" s="2825"/>
      <c r="D21" s="2825"/>
      <c r="E21" s="2825"/>
      <c r="F21" s="2825"/>
      <c r="G21" s="2825"/>
      <c r="H21" s="2825"/>
      <c r="I21" s="2749"/>
    </row>
    <row r="22" spans="1:9">
      <c r="A22" s="4615" t="s">
        <v>1325</v>
      </c>
      <c r="B22" s="4615"/>
      <c r="C22" s="4615"/>
      <c r="D22" s="4615"/>
      <c r="E22" s="4615"/>
      <c r="F22" s="4615"/>
      <c r="G22" s="4615"/>
      <c r="H22" s="4615"/>
      <c r="I22" s="4615"/>
    </row>
    <row r="23" spans="1:9" ht="20.25">
      <c r="A23" s="2825"/>
      <c r="B23" s="2825"/>
      <c r="C23" s="2825"/>
      <c r="D23" s="2825"/>
      <c r="E23" s="2825"/>
      <c r="F23" s="2825"/>
      <c r="G23" s="2825"/>
      <c r="H23" s="2825"/>
      <c r="I23" s="2749"/>
    </row>
    <row r="24" spans="1:9" ht="18" customHeight="1">
      <c r="A24" s="4615" t="s">
        <v>265</v>
      </c>
      <c r="B24" s="4615"/>
      <c r="C24" s="4615"/>
      <c r="D24" s="4615"/>
      <c r="E24" s="4615"/>
      <c r="F24" s="4615"/>
      <c r="G24" s="4615"/>
      <c r="H24" s="4615"/>
      <c r="I24" s="4615"/>
    </row>
    <row r="25" spans="1:9" ht="18" customHeight="1">
      <c r="A25" s="4615" t="s">
        <v>280</v>
      </c>
      <c r="B25" s="4615"/>
      <c r="C25" s="4615"/>
      <c r="D25" s="4615"/>
      <c r="E25" s="4615"/>
      <c r="F25" s="4615"/>
      <c r="G25" s="4615"/>
      <c r="H25" s="4615"/>
      <c r="I25" s="4615"/>
    </row>
    <row r="26" spans="1:9" ht="18" customHeight="1">
      <c r="A26" s="4615" t="str">
        <f>"der vollstationären Pflege "&amp;IF('Copy &amp; Paste'!H12&lt;&gt;0,"und der Kurzzeitpflege","")</f>
        <v xml:space="preserve">der vollstationären Pflege </v>
      </c>
      <c r="B26" s="4615"/>
      <c r="C26" s="4615"/>
      <c r="D26" s="4615"/>
      <c r="E26" s="4615"/>
      <c r="F26" s="4615"/>
      <c r="G26" s="4615"/>
      <c r="H26" s="4615"/>
      <c r="I26" s="4615"/>
    </row>
    <row r="27" spans="1:9" ht="8.1" customHeight="1">
      <c r="A27" s="54"/>
      <c r="B27" s="54"/>
      <c r="C27" s="54"/>
      <c r="D27" s="54"/>
      <c r="E27" s="54"/>
      <c r="F27" s="54"/>
      <c r="G27" s="55"/>
      <c r="H27" s="55"/>
      <c r="I27" s="55"/>
    </row>
    <row r="28" spans="1:9" ht="18" customHeight="1">
      <c r="A28" s="54" t="s">
        <v>103</v>
      </c>
      <c r="B28" s="54"/>
      <c r="C28" s="54"/>
      <c r="D28" s="54"/>
      <c r="E28" s="54"/>
      <c r="F28" s="54"/>
      <c r="G28" s="55"/>
      <c r="H28" s="55"/>
      <c r="I28" s="55"/>
    </row>
    <row r="29" spans="1:9" ht="8.1" customHeight="1">
      <c r="A29" s="54"/>
      <c r="B29" s="54"/>
      <c r="C29" s="54"/>
      <c r="D29" s="54"/>
      <c r="E29" s="54"/>
      <c r="F29" s="54"/>
      <c r="G29" s="55"/>
      <c r="H29" s="55"/>
      <c r="I29" s="55"/>
    </row>
    <row r="30" spans="1:9" ht="18" customHeight="1">
      <c r="A30" s="112" t="str">
        <f>CONCATENATE(Träger," ",Träger2)</f>
        <v xml:space="preserve"> </v>
      </c>
      <c r="B30" s="112"/>
      <c r="C30" s="112"/>
      <c r="D30" s="112"/>
      <c r="E30" s="112"/>
      <c r="F30" s="54"/>
      <c r="G30" s="55"/>
      <c r="H30" s="55"/>
      <c r="I30" s="55"/>
    </row>
    <row r="31" spans="1:9" ht="18" customHeight="1">
      <c r="A31" s="56" t="str">
        <f>'Seite 1'!F7</f>
        <v/>
      </c>
      <c r="B31" s="54"/>
      <c r="C31" s="54"/>
      <c r="D31" s="54"/>
      <c r="E31" s="54"/>
      <c r="F31" s="54"/>
      <c r="G31" s="55"/>
      <c r="H31" s="55"/>
      <c r="I31" s="55"/>
    </row>
    <row r="32" spans="1:9" ht="18" customHeight="1">
      <c r="A32" s="56" t="str">
        <f>CONCATENATE('Seite 1'!$F$8," ",'Seite 1'!$G$8)</f>
        <v xml:space="preserve"> </v>
      </c>
      <c r="B32" s="54"/>
      <c r="C32" s="54"/>
      <c r="D32" s="54"/>
      <c r="E32" s="54"/>
      <c r="F32" s="54"/>
      <c r="G32" s="55"/>
      <c r="H32" s="57" t="s">
        <v>15</v>
      </c>
      <c r="I32" s="55"/>
    </row>
    <row r="33" spans="1:95" ht="24" customHeight="1">
      <c r="A33" s="54" t="s">
        <v>104</v>
      </c>
      <c r="B33" s="54"/>
      <c r="C33" s="54"/>
      <c r="D33" s="54"/>
      <c r="E33" s="54"/>
      <c r="F33" s="54"/>
      <c r="G33" s="55"/>
      <c r="H33" s="535">
        <f>IK</f>
        <v>0</v>
      </c>
      <c r="I33" s="55"/>
    </row>
    <row r="34" spans="1:95" ht="14.25">
      <c r="A34" s="54"/>
      <c r="B34" s="54"/>
      <c r="C34" s="54"/>
      <c r="D34" s="54"/>
      <c r="E34" s="54"/>
      <c r="F34" s="54"/>
      <c r="G34" s="55"/>
      <c r="H34" s="55"/>
      <c r="I34" s="55"/>
    </row>
    <row r="35" spans="1:95" ht="18" customHeight="1">
      <c r="A35" s="56">
        <f>IF('Copy &amp; Paste'!B6="",'Copy &amp; Paste'!B5,CONCATENATE('Copy &amp; Paste'!B5,", - ",'Copy &amp; Paste'!B6,"- , "))</f>
        <v>0</v>
      </c>
      <c r="B35" s="54"/>
      <c r="C35" s="54"/>
      <c r="D35" s="54"/>
      <c r="E35" s="54"/>
      <c r="F35" s="54"/>
      <c r="G35" s="55"/>
      <c r="I35" s="55"/>
    </row>
    <row r="36" spans="1:95" ht="18" customHeight="1">
      <c r="A36" s="56" t="str">
        <f>'Seite 1'!C7</f>
        <v/>
      </c>
      <c r="B36" s="54"/>
      <c r="C36" s="54"/>
      <c r="D36" s="54"/>
      <c r="E36" s="54"/>
      <c r="F36" s="54"/>
      <c r="G36" s="55"/>
      <c r="H36" s="453" t="s">
        <v>1212</v>
      </c>
      <c r="I36" s="55"/>
    </row>
    <row r="37" spans="1:95" ht="18" customHeight="1">
      <c r="A37" s="56" t="str">
        <f>CONCATENATE('Seite 1'!$C$8," ",'Seite 1'!$D$8)</f>
        <v xml:space="preserve"> </v>
      </c>
      <c r="B37" s="54"/>
      <c r="C37" s="54"/>
      <c r="D37" s="54"/>
      <c r="E37" s="54"/>
      <c r="F37" s="54"/>
      <c r="G37" s="55"/>
      <c r="H37" s="452">
        <f>'Copy &amp; Paste'!B15</f>
        <v>0</v>
      </c>
      <c r="I37" s="55"/>
    </row>
    <row r="38" spans="1:95" ht="18" customHeight="1">
      <c r="A38" s="54"/>
      <c r="B38" s="54"/>
      <c r="C38" s="54"/>
      <c r="D38" s="54"/>
      <c r="E38" s="54"/>
      <c r="F38" s="54"/>
      <c r="G38" s="55"/>
      <c r="H38" s="3658"/>
      <c r="I38" s="55"/>
    </row>
    <row r="39" spans="1:95" s="62" customFormat="1" ht="18" customHeight="1">
      <c r="A39" s="59" t="s">
        <v>746</v>
      </c>
      <c r="B39" s="59"/>
      <c r="C39" s="59"/>
      <c r="D39" s="59"/>
      <c r="E39" s="59"/>
      <c r="F39" s="59"/>
      <c r="G39" s="59"/>
      <c r="H39" s="60" t="s">
        <v>741</v>
      </c>
      <c r="I39" s="61"/>
    </row>
    <row r="40" spans="1:95" ht="8.1" customHeight="1">
      <c r="A40" s="54"/>
      <c r="B40" s="54"/>
      <c r="C40" s="54"/>
      <c r="D40" s="54"/>
      <c r="E40" s="54"/>
      <c r="F40" s="54"/>
      <c r="G40" s="55"/>
      <c r="H40" s="55"/>
      <c r="I40" s="55"/>
    </row>
    <row r="41" spans="1:95" ht="18" customHeight="1">
      <c r="A41" s="54" t="s">
        <v>105</v>
      </c>
      <c r="B41" s="54"/>
      <c r="C41" s="54" t="s">
        <v>743</v>
      </c>
      <c r="D41" s="54"/>
      <c r="E41" s="54"/>
      <c r="F41" s="54"/>
      <c r="G41" s="55"/>
      <c r="H41" s="55"/>
      <c r="I41" s="55"/>
    </row>
    <row r="42" spans="1:95" ht="8.1" customHeight="1">
      <c r="A42" s="54"/>
      <c r="B42" s="54"/>
      <c r="C42" s="54"/>
      <c r="D42" s="54"/>
      <c r="E42" s="54"/>
      <c r="F42" s="54"/>
      <c r="G42" s="55"/>
      <c r="H42" s="55"/>
      <c r="I42" s="55"/>
    </row>
    <row r="43" spans="1:95" s="15" customFormat="1" ht="18" customHeight="1">
      <c r="A43" s="54" t="s">
        <v>744</v>
      </c>
      <c r="B43" s="55"/>
      <c r="C43" s="56" t="s">
        <v>747</v>
      </c>
      <c r="D43" s="55"/>
      <c r="E43" s="55"/>
      <c r="F43" s="55"/>
      <c r="G43" s="55"/>
      <c r="H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row>
    <row r="44" spans="1:95" ht="18" customHeight="1">
      <c r="A44" s="54" t="s">
        <v>744</v>
      </c>
      <c r="B44" s="54"/>
      <c r="C44" s="56" t="s">
        <v>880</v>
      </c>
      <c r="D44" s="54"/>
      <c r="E44" s="54"/>
      <c r="F44" s="54"/>
      <c r="G44" s="55"/>
      <c r="H44" s="55"/>
      <c r="I44" s="55"/>
    </row>
    <row r="45" spans="1:95" ht="18" customHeight="1">
      <c r="A45" s="54" t="s">
        <v>745</v>
      </c>
      <c r="B45" s="54"/>
      <c r="C45" s="56" t="s">
        <v>350</v>
      </c>
      <c r="D45" s="54"/>
      <c r="E45" s="54"/>
      <c r="F45" s="54"/>
      <c r="G45" s="55"/>
      <c r="H45" s="55"/>
      <c r="I45" s="55"/>
    </row>
    <row r="46" spans="1:95" ht="18" customHeight="1">
      <c r="A46" s="54"/>
      <c r="B46" s="54"/>
      <c r="C46" s="54" t="s">
        <v>347</v>
      </c>
      <c r="D46" s="54"/>
      <c r="E46" s="54"/>
      <c r="F46" s="54"/>
      <c r="G46" s="55"/>
      <c r="H46" s="55"/>
      <c r="I46" s="55"/>
    </row>
    <row r="47" spans="1:95" ht="18" customHeight="1">
      <c r="A47" s="54" t="s">
        <v>744</v>
      </c>
      <c r="B47" s="54"/>
      <c r="C47" s="56" t="s">
        <v>1407</v>
      </c>
      <c r="D47" s="54"/>
      <c r="E47" s="54"/>
      <c r="F47" s="54"/>
      <c r="G47" s="55"/>
      <c r="H47" s="55"/>
      <c r="I47" s="55"/>
    </row>
    <row r="48" spans="1:95" ht="18" customHeight="1">
      <c r="A48" s="54" t="s">
        <v>744</v>
      </c>
      <c r="B48" s="54"/>
      <c r="C48" s="56" t="s">
        <v>1194</v>
      </c>
      <c r="D48" s="54"/>
      <c r="E48" s="54"/>
      <c r="F48" s="54"/>
      <c r="G48" s="55"/>
      <c r="H48" s="55"/>
      <c r="I48" s="55"/>
    </row>
    <row r="49" spans="1:9" ht="18" customHeight="1">
      <c r="A49" s="54" t="s">
        <v>744</v>
      </c>
      <c r="B49" s="54"/>
      <c r="C49" s="56" t="s">
        <v>787</v>
      </c>
      <c r="D49" s="54"/>
      <c r="E49" s="54"/>
      <c r="F49" s="54"/>
      <c r="G49" s="55"/>
      <c r="H49" s="55"/>
      <c r="I49" s="55"/>
    </row>
    <row r="50" spans="1:9" ht="18" customHeight="1">
      <c r="A50" s="54"/>
      <c r="B50" s="54"/>
      <c r="C50" s="56" t="s">
        <v>793</v>
      </c>
      <c r="D50" s="54"/>
      <c r="E50" s="54"/>
      <c r="F50" s="54"/>
      <c r="G50" s="55"/>
      <c r="H50" s="55"/>
      <c r="I50" s="55"/>
    </row>
    <row r="51" spans="1:9" ht="8.1" customHeight="1">
      <c r="A51" s="54"/>
      <c r="B51" s="54"/>
      <c r="C51" s="54"/>
      <c r="D51" s="54"/>
      <c r="E51" s="54"/>
      <c r="F51" s="54"/>
      <c r="G51" s="55"/>
      <c r="H51" s="55"/>
      <c r="I51" s="55"/>
    </row>
    <row r="52" spans="1:9" ht="18" customHeight="1">
      <c r="A52" s="54" t="s">
        <v>352</v>
      </c>
      <c r="B52" s="54"/>
      <c r="C52" s="56" t="s">
        <v>353</v>
      </c>
      <c r="D52" s="54"/>
      <c r="E52" s="54"/>
      <c r="F52" s="54"/>
      <c r="G52" s="55"/>
      <c r="H52" s="55"/>
      <c r="I52" s="55"/>
    </row>
    <row r="53" spans="1:9" ht="8.1" customHeight="1">
      <c r="A53" s="54"/>
      <c r="B53" s="54"/>
      <c r="C53" s="54"/>
      <c r="D53" s="54"/>
      <c r="E53" s="54"/>
      <c r="F53" s="54"/>
      <c r="G53" s="55"/>
      <c r="H53" s="55"/>
      <c r="I53" s="55"/>
    </row>
    <row r="54" spans="1:9" ht="18" customHeight="1">
      <c r="A54" s="54"/>
      <c r="B54" s="54"/>
      <c r="C54" s="63"/>
      <c r="D54" s="64" t="s">
        <v>788</v>
      </c>
      <c r="E54" s="54"/>
      <c r="F54" s="54"/>
      <c r="G54" s="55"/>
      <c r="H54" s="55"/>
      <c r="I54" s="55"/>
    </row>
    <row r="55" spans="1:9" ht="18" customHeight="1">
      <c r="A55" s="54"/>
      <c r="B55" s="54"/>
      <c r="C55" s="63"/>
      <c r="D55" s="64" t="s">
        <v>1068</v>
      </c>
      <c r="E55" s="54"/>
      <c r="F55" s="54"/>
      <c r="G55" s="55"/>
      <c r="H55" s="55"/>
      <c r="I55" s="55"/>
    </row>
    <row r="56" spans="1:9" ht="18" customHeight="1">
      <c r="A56" s="54"/>
      <c r="B56" s="54"/>
      <c r="C56" s="63"/>
      <c r="D56" s="64" t="s">
        <v>789</v>
      </c>
      <c r="E56" s="54"/>
      <c r="F56" s="54"/>
      <c r="G56" s="55"/>
      <c r="H56" s="55"/>
      <c r="I56" s="55"/>
    </row>
    <row r="57" spans="1:9" ht="18" customHeight="1">
      <c r="A57" s="54"/>
      <c r="B57" s="54"/>
      <c r="C57" s="63"/>
      <c r="D57" s="64" t="s">
        <v>790</v>
      </c>
      <c r="E57" s="54"/>
      <c r="F57" s="54"/>
      <c r="G57" s="55"/>
      <c r="H57" s="55"/>
      <c r="I57" s="55"/>
    </row>
    <row r="58" spans="1:9" ht="18" customHeight="1">
      <c r="A58" s="54"/>
      <c r="B58" s="54"/>
      <c r="C58" s="63"/>
      <c r="D58" s="64" t="s">
        <v>792</v>
      </c>
      <c r="E58" s="54"/>
      <c r="F58" s="54"/>
      <c r="G58" s="55"/>
      <c r="H58" s="55"/>
      <c r="I58" s="55"/>
    </row>
    <row r="59" spans="1:9" ht="18" customHeight="1">
      <c r="A59" s="54"/>
      <c r="B59" s="54"/>
      <c r="C59" s="63"/>
      <c r="D59" s="64" t="s">
        <v>791</v>
      </c>
      <c r="E59" s="54"/>
      <c r="F59" s="54"/>
      <c r="G59" s="55"/>
      <c r="H59" s="55"/>
      <c r="I59" s="55"/>
    </row>
    <row r="60" spans="1:9" ht="8.1" customHeight="1">
      <c r="A60" s="54"/>
      <c r="B60" s="54"/>
      <c r="C60" s="54"/>
      <c r="D60" s="54"/>
      <c r="E60" s="54"/>
      <c r="F60" s="54"/>
      <c r="G60" s="55"/>
      <c r="H60" s="55"/>
      <c r="I60" s="55"/>
    </row>
    <row r="61" spans="1:9" ht="18" customHeight="1">
      <c r="B61" s="54"/>
      <c r="C61" s="54" t="s">
        <v>321</v>
      </c>
      <c r="D61" s="54"/>
      <c r="E61" s="54"/>
      <c r="F61" s="54"/>
      <c r="G61" s="55"/>
      <c r="H61" s="55"/>
      <c r="I61" s="55"/>
    </row>
    <row r="62" spans="1:9" ht="8.1" customHeight="1">
      <c r="A62" s="54"/>
      <c r="B62" s="54"/>
      <c r="C62" s="54"/>
      <c r="D62" s="54"/>
      <c r="E62" s="54"/>
      <c r="F62" s="54"/>
      <c r="G62" s="55"/>
      <c r="H62" s="55"/>
      <c r="I62" s="55"/>
    </row>
    <row r="63" spans="1:9" ht="18" customHeight="1">
      <c r="B63" s="54"/>
      <c r="C63" s="56" t="s">
        <v>278</v>
      </c>
      <c r="D63" s="54"/>
      <c r="E63" s="54"/>
      <c r="F63" s="54"/>
      <c r="G63" s="55"/>
      <c r="H63" s="55"/>
      <c r="I63" s="55"/>
    </row>
    <row r="64" spans="1:9" ht="18" customHeight="1">
      <c r="B64" s="54"/>
      <c r="C64" s="65" t="s">
        <v>966</v>
      </c>
      <c r="D64" s="54"/>
      <c r="E64" s="54"/>
      <c r="F64" s="54"/>
      <c r="G64" s="55"/>
      <c r="H64" s="55"/>
      <c r="I64" s="55"/>
    </row>
    <row r="65" spans="1:9" ht="14.25">
      <c r="A65" s="54"/>
      <c r="B65" s="54"/>
      <c r="D65" s="54"/>
      <c r="E65" s="54"/>
      <c r="F65" s="54"/>
      <c r="G65" s="55"/>
      <c r="H65" s="55"/>
      <c r="I65" s="55"/>
    </row>
    <row r="66" spans="1:9" ht="14.25">
      <c r="A66" s="54"/>
      <c r="B66" s="54"/>
      <c r="C66" s="54"/>
      <c r="D66" s="54"/>
      <c r="E66" s="54"/>
      <c r="F66" s="54"/>
      <c r="G66" s="55"/>
      <c r="H66" s="55"/>
      <c r="I66" s="55"/>
    </row>
    <row r="67" spans="1:9" ht="17.25" customHeight="1">
      <c r="A67" s="54" t="s">
        <v>236</v>
      </c>
      <c r="B67" s="54"/>
      <c r="C67" s="54"/>
      <c r="D67" s="56" t="str">
        <f>"Landschaftsverband "&amp;IF(Landesteil="Westfalen-Lippe","Westfalen-Lippe","Rheinland")</f>
        <v>Landschaftsverband Rheinland</v>
      </c>
      <c r="E67" s="54"/>
      <c r="F67" s="54"/>
      <c r="G67" s="55"/>
      <c r="H67" s="55"/>
      <c r="I67" s="55"/>
    </row>
    <row r="68" spans="1:9" ht="18" customHeight="1">
      <c r="A68" s="54"/>
      <c r="B68" s="54"/>
      <c r="C68" s="54"/>
      <c r="D68" s="54" t="s">
        <v>348</v>
      </c>
      <c r="E68" s="54"/>
      <c r="F68" s="54"/>
      <c r="G68" s="55"/>
      <c r="H68" s="55"/>
      <c r="I68" s="55"/>
    </row>
    <row r="69" spans="1:9" ht="18" customHeight="1">
      <c r="A69" s="54"/>
      <c r="B69" s="54"/>
      <c r="C69" s="54"/>
      <c r="D69" s="54"/>
      <c r="E69" s="54"/>
      <c r="F69" s="54"/>
      <c r="G69" s="55"/>
      <c r="H69" s="66" t="s">
        <v>742</v>
      </c>
      <c r="I69" s="55"/>
    </row>
    <row r="70" spans="1:9" ht="8.1" customHeight="1">
      <c r="A70" s="54"/>
      <c r="B70" s="54"/>
      <c r="C70" s="54"/>
      <c r="D70" s="54"/>
      <c r="E70" s="54"/>
      <c r="F70" s="54"/>
      <c r="G70" s="55"/>
      <c r="H70" s="66"/>
      <c r="I70" s="55"/>
    </row>
    <row r="71" spans="1:9" ht="18" customHeight="1">
      <c r="A71" s="54" t="s">
        <v>2300</v>
      </c>
      <c r="B71" s="54"/>
      <c r="C71" s="54"/>
      <c r="D71" s="54"/>
      <c r="E71" s="54"/>
      <c r="F71" s="54"/>
      <c r="G71" s="55"/>
      <c r="H71" s="55"/>
      <c r="I71" s="55"/>
    </row>
    <row r="72" spans="1:9" ht="18" customHeight="1">
      <c r="A72" s="4624"/>
      <c r="B72" s="4624"/>
      <c r="C72" s="4624"/>
      <c r="D72" s="54" t="s">
        <v>2290</v>
      </c>
      <c r="E72" s="54"/>
      <c r="F72" s="54"/>
      <c r="G72" s="55"/>
      <c r="H72" s="55"/>
      <c r="I72" s="55"/>
    </row>
    <row r="73" spans="1:9" ht="18" customHeight="1">
      <c r="A73" s="54"/>
      <c r="B73" s="54"/>
      <c r="C73" s="54"/>
      <c r="D73" s="54"/>
      <c r="E73" s="54"/>
      <c r="F73" s="54"/>
      <c r="G73" s="55"/>
      <c r="H73" s="55"/>
      <c r="I73" s="55"/>
    </row>
    <row r="74" spans="1:9" ht="18" customHeight="1">
      <c r="A74" s="54"/>
      <c r="B74" s="54"/>
      <c r="C74" s="54"/>
      <c r="D74" s="54"/>
      <c r="E74" s="54"/>
      <c r="F74" s="54"/>
      <c r="G74" s="55"/>
      <c r="H74" s="55"/>
      <c r="I74" s="55"/>
    </row>
    <row r="75" spans="1:9" ht="18" customHeight="1">
      <c r="A75" s="54"/>
      <c r="B75" s="54"/>
      <c r="C75" s="54"/>
      <c r="D75" s="54"/>
      <c r="E75" s="54"/>
      <c r="F75" s="54"/>
      <c r="G75" s="55"/>
      <c r="H75" s="55"/>
      <c r="I75" s="55"/>
    </row>
    <row r="76" spans="1:9" ht="14.25" customHeight="1">
      <c r="A76" s="4623" t="s">
        <v>106</v>
      </c>
      <c r="B76" s="4623"/>
      <c r="C76" s="4623"/>
      <c r="D76" s="4623"/>
      <c r="E76" s="4623"/>
      <c r="F76" s="4623"/>
      <c r="G76" s="4623"/>
      <c r="H76" s="4623"/>
      <c r="I76" s="4623"/>
    </row>
    <row r="77" spans="1:9" ht="14.25" customHeight="1">
      <c r="A77" s="67"/>
      <c r="B77" s="67"/>
      <c r="C77" s="67"/>
      <c r="D77" s="67"/>
      <c r="E77" s="67"/>
      <c r="F77" s="67"/>
      <c r="G77" s="67"/>
      <c r="H77" s="67"/>
    </row>
    <row r="78" spans="1:9" ht="14.25" customHeight="1">
      <c r="A78" s="70" t="s">
        <v>2291</v>
      </c>
      <c r="B78" s="67"/>
      <c r="C78" s="67"/>
      <c r="D78" s="67"/>
      <c r="E78" s="67"/>
      <c r="F78" s="67"/>
      <c r="G78" s="67"/>
      <c r="H78" s="67"/>
    </row>
    <row r="79" spans="1:9" ht="14.25" customHeight="1">
      <c r="A79" s="70" t="s">
        <v>2292</v>
      </c>
      <c r="B79" s="67"/>
      <c r="C79" s="67"/>
      <c r="D79" s="67"/>
      <c r="E79" s="67"/>
      <c r="F79" s="67"/>
      <c r="G79" s="67"/>
      <c r="H79" s="67"/>
    </row>
    <row r="80" spans="1:9" ht="14.25" customHeight="1">
      <c r="A80" s="70" t="s">
        <v>2293</v>
      </c>
      <c r="B80" s="67"/>
      <c r="C80" s="67"/>
      <c r="D80" s="67"/>
      <c r="E80" s="67"/>
      <c r="F80" s="67"/>
      <c r="G80" s="67"/>
      <c r="H80" s="67"/>
    </row>
    <row r="81" spans="1:9" ht="14.25" customHeight="1">
      <c r="A81" s="67"/>
      <c r="B81" s="67"/>
      <c r="C81" s="67"/>
      <c r="D81" s="67"/>
      <c r="E81" s="67"/>
      <c r="F81" s="67"/>
      <c r="G81" s="67"/>
      <c r="H81" s="67"/>
    </row>
    <row r="82" spans="1:9" ht="14.25" customHeight="1">
      <c r="A82" s="70" t="s">
        <v>2294</v>
      </c>
      <c r="B82" s="67"/>
      <c r="C82" s="67"/>
      <c r="D82" s="67"/>
      <c r="E82" s="67"/>
      <c r="F82" s="67"/>
      <c r="G82" s="67"/>
      <c r="H82" s="67"/>
    </row>
    <row r="83" spans="1:9" ht="14.25" customHeight="1">
      <c r="A83" s="70" t="s">
        <v>2295</v>
      </c>
      <c r="B83" s="67"/>
      <c r="C83" s="67"/>
      <c r="D83" s="67"/>
      <c r="E83" s="67"/>
      <c r="F83" s="67"/>
      <c r="G83" s="67"/>
      <c r="H83" s="67"/>
    </row>
    <row r="84" spans="1:9" ht="14.25" customHeight="1">
      <c r="A84" s="70"/>
      <c r="B84" s="67"/>
      <c r="C84" s="67"/>
      <c r="D84" s="67"/>
      <c r="E84" s="67"/>
      <c r="F84" s="67"/>
      <c r="G84" s="67"/>
      <c r="H84" s="67"/>
    </row>
    <row r="85" spans="1:9" ht="14.25" customHeight="1">
      <c r="A85" s="70" t="s">
        <v>2296</v>
      </c>
      <c r="B85" s="67"/>
      <c r="C85" s="67"/>
      <c r="D85" s="67"/>
      <c r="E85" s="67"/>
      <c r="F85" s="67"/>
      <c r="G85" s="67"/>
      <c r="H85" s="67"/>
    </row>
    <row r="86" spans="1:9" s="3694" customFormat="1" ht="14.25" customHeight="1">
      <c r="A86" s="3692" t="s">
        <v>2297</v>
      </c>
      <c r="B86" s="3693"/>
      <c r="C86" s="3693"/>
      <c r="D86" s="3693"/>
      <c r="E86" s="3693"/>
      <c r="F86" s="3693"/>
      <c r="G86" s="3693"/>
      <c r="H86" s="3693"/>
    </row>
    <row r="87" spans="1:9" s="3694" customFormat="1" ht="14.25" customHeight="1">
      <c r="A87" s="3692"/>
      <c r="B87" s="3693"/>
      <c r="C87" s="3693"/>
      <c r="D87" s="3693"/>
      <c r="E87" s="3693"/>
      <c r="F87" s="3693"/>
      <c r="G87" s="3693"/>
      <c r="H87" s="3693"/>
    </row>
    <row r="88" spans="1:9" s="3694" customFormat="1" ht="14.25" customHeight="1">
      <c r="A88" s="3692"/>
      <c r="B88" s="3693"/>
      <c r="C88" s="3693"/>
      <c r="D88" s="3693"/>
      <c r="E88" s="3693"/>
      <c r="F88" s="3693"/>
      <c r="G88" s="3693"/>
      <c r="H88" s="3693"/>
    </row>
    <row r="89" spans="1:9" s="3694" customFormat="1" ht="14.25" customHeight="1">
      <c r="A89" s="3695" t="s">
        <v>1362</v>
      </c>
      <c r="B89" s="3696" t="s">
        <v>941</v>
      </c>
      <c r="C89" s="3696"/>
      <c r="D89" s="3696"/>
      <c r="E89" s="3696"/>
      <c r="F89" s="3696"/>
      <c r="G89" s="3696"/>
      <c r="H89" s="3696"/>
      <c r="I89" s="3697"/>
    </row>
    <row r="90" spans="1:9" s="3694" customFormat="1" ht="14.25" customHeight="1">
      <c r="A90" s="3696"/>
      <c r="B90" s="3696" t="s">
        <v>1020</v>
      </c>
      <c r="C90" s="3696"/>
      <c r="D90" s="3696"/>
      <c r="E90" s="3696"/>
      <c r="F90" s="3696"/>
      <c r="G90" s="3696"/>
      <c r="H90" s="3696"/>
      <c r="I90" s="3698"/>
    </row>
    <row r="91" spans="1:9" s="3694" customFormat="1" ht="14.25" customHeight="1">
      <c r="A91" s="3696"/>
      <c r="B91" s="3696"/>
      <c r="C91" s="3696"/>
      <c r="D91" s="3696"/>
      <c r="E91" s="3696"/>
      <c r="F91" s="3696"/>
      <c r="G91" s="3696"/>
      <c r="H91" s="3696"/>
      <c r="I91" s="3698"/>
    </row>
    <row r="92" spans="1:9" s="3694" customFormat="1" ht="27.75" customHeight="1">
      <c r="A92" s="3696"/>
      <c r="B92" s="3696"/>
      <c r="C92" s="3699" t="s">
        <v>1214</v>
      </c>
      <c r="D92" s="3700" t="s">
        <v>1215</v>
      </c>
      <c r="E92" s="4616" t="s">
        <v>1216</v>
      </c>
      <c r="F92" s="4616"/>
      <c r="G92" s="3696"/>
      <c r="H92" s="3701" t="s">
        <v>1016</v>
      </c>
      <c r="I92" s="3698"/>
    </row>
    <row r="93" spans="1:9" s="3694" customFormat="1" ht="14.25" customHeight="1">
      <c r="A93" s="3696"/>
      <c r="B93" s="3696"/>
      <c r="C93" s="3696"/>
      <c r="D93" s="3696"/>
      <c r="E93" s="3696"/>
      <c r="F93" s="3696"/>
      <c r="G93" s="3696"/>
      <c r="H93" s="3702"/>
      <c r="I93" s="3698"/>
    </row>
    <row r="94" spans="1:9" s="3694" customFormat="1" ht="14.25" customHeight="1">
      <c r="A94" s="3696"/>
      <c r="B94" s="3698"/>
      <c r="C94" s="3696" t="s">
        <v>811</v>
      </c>
      <c r="D94" s="3703">
        <v>404000</v>
      </c>
      <c r="E94" s="3727" t="e">
        <f>H4</f>
        <v>#DIV/0!</v>
      </c>
      <c r="F94" s="3704" t="s">
        <v>929</v>
      </c>
      <c r="G94" s="3698"/>
      <c r="H94" s="3728" t="e">
        <f>FIXED(E94*30.42,2)&amp;" €"</f>
        <v>#DIV/0!</v>
      </c>
      <c r="I94" s="3698"/>
    </row>
    <row r="95" spans="1:9" s="3694" customFormat="1" ht="14.25" customHeight="1">
      <c r="A95" s="3696"/>
      <c r="B95" s="3698"/>
      <c r="C95" s="3696" t="s">
        <v>812</v>
      </c>
      <c r="D95" s="3703">
        <v>404000</v>
      </c>
      <c r="E95" s="3727" t="e">
        <f>H5</f>
        <v>#DIV/0!</v>
      </c>
      <c r="F95" s="3704" t="s">
        <v>929</v>
      </c>
      <c r="G95" s="3698"/>
      <c r="H95" s="3728" t="e">
        <f>FIXED(E95*30.42,2)&amp;" €"</f>
        <v>#DIV/0!</v>
      </c>
      <c r="I95" s="3698"/>
    </row>
    <row r="96" spans="1:9" s="3694" customFormat="1" ht="14.25" customHeight="1">
      <c r="A96" s="3696"/>
      <c r="B96" s="3698"/>
      <c r="C96" s="3696" t="s">
        <v>813</v>
      </c>
      <c r="D96" s="3703">
        <v>404000</v>
      </c>
      <c r="E96" s="3727" t="e">
        <f>H6</f>
        <v>#DIV/0!</v>
      </c>
      <c r="F96" s="3704" t="s">
        <v>929</v>
      </c>
      <c r="G96" s="3698"/>
      <c r="H96" s="3728" t="e">
        <f>FIXED(E96*30.42,2)&amp;" €"</f>
        <v>#DIV/0!</v>
      </c>
      <c r="I96" s="3698"/>
    </row>
    <row r="97" spans="1:16" s="3694" customFormat="1" ht="14.25" customHeight="1">
      <c r="A97" s="3696"/>
      <c r="B97" s="3698"/>
      <c r="C97" s="3696" t="s">
        <v>814</v>
      </c>
      <c r="D97" s="3703">
        <v>404000</v>
      </c>
      <c r="E97" s="3727" t="e">
        <f>H7</f>
        <v>#DIV/0!</v>
      </c>
      <c r="F97" s="3704" t="s">
        <v>929</v>
      </c>
      <c r="G97" s="3698"/>
      <c r="H97" s="3728" t="e">
        <f>FIXED(E97*30.42,2)&amp;" €"</f>
        <v>#DIV/0!</v>
      </c>
      <c r="I97" s="3698"/>
    </row>
    <row r="98" spans="1:16" s="3694" customFormat="1" ht="14.25" customHeight="1">
      <c r="A98" s="3705"/>
      <c r="B98" s="3706"/>
      <c r="C98" s="3696" t="s">
        <v>815</v>
      </c>
      <c r="D98" s="3703">
        <v>404000</v>
      </c>
      <c r="E98" s="3727" t="e">
        <f>H8</f>
        <v>#DIV/0!</v>
      </c>
      <c r="F98" s="3704" t="s">
        <v>931</v>
      </c>
      <c r="G98" s="3698"/>
      <c r="H98" s="3728" t="e">
        <f>FIXED(E98*30.42,2)&amp;" €."</f>
        <v>#DIV/0!</v>
      </c>
      <c r="I98" s="3698"/>
    </row>
    <row r="99" spans="1:16" s="3694" customFormat="1" ht="14.25" customHeight="1">
      <c r="A99" s="3707"/>
      <c r="B99" s="3708"/>
      <c r="C99" s="3709"/>
      <c r="D99" s="3709"/>
      <c r="E99" s="3710"/>
      <c r="F99" s="3709"/>
      <c r="G99" s="104"/>
      <c r="H99" s="3711"/>
      <c r="I99" s="3712"/>
    </row>
    <row r="100" spans="1:16" s="3694" customFormat="1" ht="14.25" customHeight="1">
      <c r="A100" s="3696"/>
      <c r="B100" s="3696" t="s">
        <v>1017</v>
      </c>
      <c r="C100" s="3713"/>
      <c r="D100" s="3713"/>
      <c r="E100" s="3714"/>
      <c r="F100" s="3713"/>
      <c r="G100" s="28"/>
      <c r="H100" s="3715"/>
      <c r="I100" s="3698"/>
    </row>
    <row r="101" spans="1:16" s="3694" customFormat="1" ht="14.25" customHeight="1">
      <c r="A101" s="3696"/>
      <c r="B101" s="3696" t="s">
        <v>1018</v>
      </c>
      <c r="C101" s="3713"/>
      <c r="D101" s="3713"/>
      <c r="E101" s="3714"/>
      <c r="F101" s="3713"/>
      <c r="G101" s="28"/>
      <c r="H101" s="3715"/>
      <c r="I101" s="3698"/>
    </row>
    <row r="102" spans="1:16" ht="14.25" customHeight="1">
      <c r="A102" s="3696"/>
      <c r="B102" s="3696"/>
      <c r="C102" s="3713"/>
      <c r="D102" s="3713"/>
      <c r="E102" s="3714"/>
      <c r="F102" s="3713"/>
      <c r="G102" s="28"/>
      <c r="H102" s="3715"/>
      <c r="I102" s="3698"/>
    </row>
    <row r="103" spans="1:16" ht="14.25" customHeight="1">
      <c r="A103" s="4621" t="e">
        <f>FIXED(E16,2)&amp;" €"</f>
        <v>#DIV/0!</v>
      </c>
      <c r="B103" s="4621"/>
      <c r="C103" s="4621"/>
      <c r="D103" s="4621"/>
      <c r="E103" s="4621"/>
      <c r="F103" s="4621"/>
      <c r="G103" s="4621"/>
      <c r="H103" s="4621"/>
      <c r="I103" s="4621"/>
    </row>
    <row r="104" spans="1:16" ht="14.25" customHeight="1">
      <c r="A104" s="4622" t="e">
        <f>"(nachrichtlich: durchschnittlich je Berechnungstag "&amp;FIXED(E17,2)&amp;" €, bereits in den Pflegesätzen zu Ziffer 1 enthalten)"</f>
        <v>#DIV/0!</v>
      </c>
      <c r="B104" s="4622"/>
      <c r="C104" s="4622"/>
      <c r="D104" s="4622"/>
      <c r="E104" s="4622"/>
      <c r="F104" s="4622"/>
      <c r="G104" s="4622"/>
      <c r="H104" s="4622"/>
      <c r="I104" s="4622"/>
    </row>
    <row r="105" spans="1:16" ht="14.25" customHeight="1">
      <c r="A105" s="3696"/>
      <c r="B105" s="3696"/>
      <c r="C105" s="3713"/>
      <c r="D105" s="3713"/>
      <c r="E105" s="3714"/>
      <c r="F105" s="3713"/>
      <c r="G105" s="116"/>
      <c r="H105" s="3715"/>
      <c r="I105" s="3698"/>
    </row>
    <row r="106" spans="1:16" ht="14.25" customHeight="1">
      <c r="A106" s="3696"/>
      <c r="B106" s="3696"/>
      <c r="C106" s="3713"/>
      <c r="D106" s="3713"/>
      <c r="E106" s="3714"/>
      <c r="F106" s="3713"/>
      <c r="G106" s="106"/>
      <c r="H106" s="3715"/>
      <c r="I106" s="3698"/>
    </row>
    <row r="107" spans="1:16" ht="14.25" customHeight="1">
      <c r="A107" s="3696"/>
      <c r="B107" s="3696" t="s">
        <v>2005</v>
      </c>
      <c r="C107" s="3713"/>
      <c r="D107" s="3713"/>
      <c r="E107" s="3714"/>
      <c r="F107" s="3713"/>
      <c r="G107" s="106"/>
      <c r="H107" s="3715"/>
      <c r="I107" s="3698"/>
    </row>
    <row r="108" spans="1:16" ht="14.25" customHeight="1">
      <c r="A108" s="3696"/>
      <c r="B108" s="3696" t="s">
        <v>2006</v>
      </c>
      <c r="C108" s="3713"/>
      <c r="D108" s="3713"/>
      <c r="E108" s="3714"/>
      <c r="F108" s="3713"/>
      <c r="G108" s="106"/>
      <c r="H108" s="3715"/>
      <c r="I108" s="3698"/>
      <c r="J108" s="54"/>
      <c r="K108" s="54"/>
      <c r="L108" s="54"/>
      <c r="M108" s="54"/>
      <c r="N108" s="54"/>
      <c r="O108" s="54"/>
      <c r="P108" s="54"/>
    </row>
    <row r="109" spans="1:16" ht="14.25" customHeight="1">
      <c r="A109" s="54"/>
      <c r="B109" s="54"/>
      <c r="C109" s="79"/>
      <c r="D109" s="79"/>
      <c r="E109" s="80"/>
      <c r="F109" s="79"/>
      <c r="G109" s="106"/>
      <c r="H109" s="86"/>
      <c r="J109" s="54"/>
      <c r="K109" s="54"/>
      <c r="L109" s="54"/>
      <c r="M109" s="54"/>
      <c r="N109" s="54"/>
      <c r="O109" s="54"/>
      <c r="P109" s="54"/>
    </row>
    <row r="110" spans="1:16" ht="14.25" customHeight="1">
      <c r="A110" s="54" t="s">
        <v>2298</v>
      </c>
      <c r="B110" s="54"/>
      <c r="C110" s="79"/>
      <c r="D110" s="79"/>
      <c r="E110" s="80"/>
      <c r="F110" s="79"/>
      <c r="G110" s="106"/>
      <c r="H110" s="86"/>
      <c r="J110" s="54"/>
      <c r="K110" s="54"/>
      <c r="L110" s="54"/>
      <c r="M110" s="54"/>
      <c r="N110" s="54"/>
      <c r="O110" s="54"/>
      <c r="P110" s="54"/>
    </row>
    <row r="111" spans="1:16" ht="14.25" customHeight="1">
      <c r="A111" s="3692" t="s">
        <v>2299</v>
      </c>
      <c r="B111" s="54"/>
      <c r="C111" s="79"/>
      <c r="D111" s="79"/>
      <c r="E111" s="80"/>
      <c r="F111" s="79"/>
      <c r="G111" s="106"/>
      <c r="H111" s="86"/>
      <c r="J111" s="54"/>
      <c r="K111" s="54"/>
      <c r="L111" s="54"/>
      <c r="M111" s="54"/>
      <c r="N111" s="54"/>
      <c r="O111" s="54"/>
      <c r="P111" s="54"/>
    </row>
    <row r="112" spans="1:16" ht="14.25" customHeight="1">
      <c r="A112" s="54"/>
      <c r="B112" s="54"/>
      <c r="C112" s="79"/>
      <c r="D112" s="79"/>
      <c r="E112" s="80"/>
      <c r="F112" s="79"/>
      <c r="G112" s="106"/>
      <c r="H112" s="86"/>
      <c r="J112" s="54"/>
      <c r="K112" s="54"/>
      <c r="L112" s="54"/>
      <c r="M112" s="54"/>
      <c r="N112" s="54"/>
      <c r="O112" s="54"/>
      <c r="P112" s="54"/>
    </row>
    <row r="113" spans="1:16" ht="14.25" customHeight="1">
      <c r="A113" s="3696" t="s">
        <v>2302</v>
      </c>
      <c r="B113" s="54"/>
      <c r="C113" s="3659"/>
      <c r="D113" s="3659"/>
      <c r="E113" s="3659"/>
      <c r="F113" s="3659"/>
      <c r="G113" s="3659"/>
      <c r="H113" s="3724">
        <v>45688</v>
      </c>
      <c r="I113" s="54"/>
      <c r="J113" s="54"/>
      <c r="K113" s="54"/>
      <c r="L113" s="54"/>
      <c r="M113" s="54"/>
      <c r="N113" s="54"/>
      <c r="O113" s="54"/>
      <c r="P113" s="54"/>
    </row>
    <row r="114" spans="1:16" ht="14.25" customHeight="1">
      <c r="A114" s="542"/>
      <c r="B114" s="54"/>
      <c r="C114" s="54"/>
      <c r="D114" s="54"/>
      <c r="E114" s="54"/>
      <c r="F114" s="54"/>
      <c r="G114" s="54"/>
      <c r="H114" s="54"/>
      <c r="I114" s="54"/>
      <c r="J114" s="54"/>
      <c r="K114" s="54"/>
      <c r="L114" s="54"/>
      <c r="M114" s="54"/>
      <c r="N114" s="54"/>
      <c r="O114" s="54"/>
      <c r="P114" s="54"/>
    </row>
    <row r="115" spans="1:16" ht="14.25" customHeight="1">
      <c r="A115" s="3696" t="s">
        <v>1375</v>
      </c>
      <c r="B115" s="54"/>
      <c r="C115" s="54"/>
      <c r="D115" s="54"/>
      <c r="E115" s="54"/>
      <c r="F115" s="54"/>
      <c r="G115" s="54"/>
      <c r="H115" s="54"/>
      <c r="I115" s="54"/>
      <c r="J115" s="54"/>
      <c r="K115" s="54"/>
      <c r="L115" s="54"/>
      <c r="M115" s="54"/>
      <c r="N115" s="54"/>
      <c r="O115" s="54"/>
      <c r="P115" s="54"/>
    </row>
    <row r="116" spans="1:16" ht="14.25" customHeight="1">
      <c r="A116" s="3696" t="s">
        <v>996</v>
      </c>
      <c r="B116" s="54"/>
      <c r="C116" s="54"/>
      <c r="D116" s="54"/>
      <c r="E116" s="54"/>
      <c r="F116" s="54"/>
      <c r="G116" s="54"/>
      <c r="H116" s="54"/>
      <c r="I116" s="54"/>
      <c r="J116" s="54"/>
      <c r="K116" s="54"/>
      <c r="L116" s="54"/>
      <c r="M116" s="54"/>
      <c r="N116" s="54"/>
      <c r="O116" s="54"/>
      <c r="P116" s="54"/>
    </row>
    <row r="117" spans="1:16" ht="14.25" customHeight="1">
      <c r="A117" s="3696" t="s">
        <v>877</v>
      </c>
      <c r="B117" s="54"/>
      <c r="C117" s="54"/>
      <c r="D117" s="54"/>
      <c r="E117" s="54"/>
      <c r="F117" s="54"/>
      <c r="G117" s="54"/>
      <c r="H117" s="54"/>
      <c r="I117" s="54"/>
      <c r="J117" s="54"/>
      <c r="K117" s="54"/>
      <c r="L117" s="54"/>
      <c r="M117" s="54"/>
      <c r="N117" s="54"/>
      <c r="O117" s="54"/>
      <c r="P117" s="54"/>
    </row>
    <row r="118" spans="1:16" ht="14.25" customHeight="1">
      <c r="A118" s="3696" t="s">
        <v>878</v>
      </c>
      <c r="B118" s="54"/>
      <c r="C118" s="54"/>
      <c r="D118" s="54"/>
      <c r="E118" s="54"/>
      <c r="F118" s="54"/>
      <c r="G118" s="54"/>
      <c r="H118" s="54"/>
      <c r="I118" s="54"/>
      <c r="J118" s="54"/>
      <c r="K118" s="54"/>
      <c r="L118" s="54"/>
      <c r="M118" s="54"/>
      <c r="N118" s="54"/>
      <c r="O118" s="54"/>
      <c r="P118" s="54"/>
    </row>
    <row r="119" spans="1:16" ht="14.25" customHeight="1">
      <c r="A119" s="54"/>
      <c r="B119" s="54"/>
      <c r="C119" s="54"/>
      <c r="D119" s="54"/>
      <c r="E119" s="54"/>
      <c r="F119" s="54"/>
      <c r="G119" s="54"/>
      <c r="H119" s="54"/>
      <c r="I119" s="54"/>
      <c r="J119" s="54"/>
      <c r="K119" s="54"/>
      <c r="L119" s="54"/>
      <c r="M119" s="54"/>
      <c r="N119" s="54"/>
      <c r="O119" s="54"/>
      <c r="P119" s="54"/>
    </row>
    <row r="120" spans="1:16" ht="14.25" hidden="1" customHeight="1" outlineLevel="1">
      <c r="A120" s="54" t="s">
        <v>1970</v>
      </c>
      <c r="B120" s="54"/>
      <c r="C120" s="54"/>
      <c r="D120" s="54"/>
      <c r="E120" s="54"/>
      <c r="F120" s="54"/>
      <c r="G120" s="54"/>
      <c r="H120" s="54"/>
      <c r="I120" s="54"/>
      <c r="J120" s="54"/>
      <c r="K120" s="54"/>
      <c r="L120" s="54"/>
      <c r="M120" s="54"/>
      <c r="N120" s="54"/>
      <c r="O120" s="54"/>
      <c r="P120" s="54"/>
    </row>
    <row r="121" spans="1:16" ht="14.25" hidden="1" customHeight="1" outlineLevel="1">
      <c r="A121" s="54" t="s">
        <v>1968</v>
      </c>
      <c r="B121" s="54"/>
      <c r="C121" s="54"/>
      <c r="D121" s="54"/>
      <c r="E121" s="54"/>
      <c r="F121" s="54"/>
      <c r="G121" s="54"/>
      <c r="H121" s="54"/>
      <c r="I121" s="54"/>
      <c r="J121" s="54"/>
      <c r="K121" s="54"/>
      <c r="L121" s="54"/>
      <c r="M121" s="54"/>
      <c r="N121" s="54"/>
      <c r="O121" s="54"/>
      <c r="P121" s="54"/>
    </row>
    <row r="122" spans="1:16" ht="14.25" hidden="1" outlineLevel="1">
      <c r="A122" s="54" t="s">
        <v>1969</v>
      </c>
      <c r="B122" s="54"/>
      <c r="C122" s="54"/>
      <c r="D122" s="54"/>
      <c r="E122" s="54"/>
      <c r="F122" s="54"/>
      <c r="G122" s="54"/>
      <c r="H122" s="54"/>
      <c r="I122" s="54"/>
      <c r="J122" s="54"/>
      <c r="K122" s="54"/>
      <c r="L122" s="54"/>
      <c r="M122" s="54"/>
      <c r="N122" s="54"/>
      <c r="O122" s="54"/>
      <c r="P122" s="54"/>
    </row>
    <row r="123" spans="1:16" ht="14.25" collapsed="1">
      <c r="A123" s="54"/>
      <c r="B123" s="54"/>
      <c r="C123" s="54"/>
      <c r="D123" s="54"/>
      <c r="E123" s="54"/>
      <c r="F123" s="54"/>
      <c r="G123" s="54"/>
      <c r="H123" s="54"/>
      <c r="I123" s="54"/>
      <c r="J123" s="54"/>
      <c r="K123" s="54"/>
      <c r="L123" s="54"/>
      <c r="M123" s="54"/>
      <c r="N123" s="54"/>
      <c r="O123" s="54"/>
      <c r="P123" s="54"/>
    </row>
    <row r="124" spans="1:16" ht="14.25" customHeight="1">
      <c r="A124" s="90" t="e">
        <f ca="1">IF(Ort_Träger=VLOOKUP(Ort,Datenbereich,6,FALSE),"",Ort_Träger&amp;", ")&amp;VLOOKUP(Ort,Datenbereich,6,FALSE)&amp;", "&amp;IF(Ort_Träger="Münster","",IF(Ort_Träger="Köln","",VLOOKUP(Ort,Datenbereich,7,FALSE)&amp;", "))&amp;TEXT(TODAY(),"TT.MM.JJJJ")</f>
        <v>#N/A</v>
      </c>
      <c r="B124" s="69"/>
      <c r="C124" s="54"/>
      <c r="D124" s="54"/>
      <c r="E124" s="54"/>
      <c r="F124" s="54"/>
      <c r="G124" s="54"/>
      <c r="H124" s="54"/>
      <c r="I124" s="76"/>
      <c r="J124" s="76"/>
      <c r="K124" s="76"/>
      <c r="L124" s="76"/>
      <c r="M124" s="76"/>
      <c r="N124" s="76"/>
      <c r="O124" s="76"/>
      <c r="P124" s="76"/>
    </row>
    <row r="125" spans="1:16" ht="14.25" customHeight="1">
      <c r="A125" s="91"/>
      <c r="B125" s="67"/>
      <c r="C125" s="54"/>
      <c r="D125" s="54"/>
      <c r="E125" s="54"/>
      <c r="F125" s="54"/>
      <c r="G125" s="54"/>
      <c r="H125" s="54"/>
      <c r="I125" s="3658"/>
      <c r="J125" s="3658"/>
      <c r="K125" s="3658"/>
      <c r="L125" s="3658"/>
      <c r="M125" s="3658"/>
      <c r="N125" s="3658"/>
      <c r="O125" s="3658"/>
      <c r="P125" s="3658"/>
    </row>
    <row r="126" spans="1:16" ht="14.25" customHeight="1">
      <c r="A126" s="94"/>
      <c r="B126" s="94"/>
      <c r="C126" s="54"/>
      <c r="D126" s="54"/>
      <c r="E126" s="54"/>
      <c r="F126" s="54"/>
      <c r="G126" s="54"/>
      <c r="H126" s="54"/>
    </row>
    <row r="127" spans="1:16" ht="14.25" customHeight="1">
      <c r="A127" s="93"/>
      <c r="B127" s="93"/>
      <c r="C127" s="54"/>
      <c r="D127" s="54"/>
      <c r="E127" s="54"/>
      <c r="F127" s="54"/>
      <c r="G127" s="54"/>
      <c r="H127" s="54"/>
    </row>
    <row r="128" spans="1:16" ht="14.25" customHeight="1">
      <c r="A128" s="93"/>
      <c r="B128" s="93"/>
    </row>
    <row r="129" spans="1:8" ht="14.25" customHeight="1">
      <c r="A129" s="93"/>
      <c r="B129" s="93"/>
    </row>
    <row r="130" spans="1:8" ht="14.25" customHeight="1">
      <c r="A130" s="93"/>
      <c r="B130" s="93"/>
    </row>
    <row r="131" spans="1:8" ht="14.25" customHeight="1">
      <c r="A131" s="93"/>
      <c r="B131" s="93"/>
    </row>
    <row r="132" spans="1:8" ht="14.25" customHeight="1" thickBot="1">
      <c r="A132" s="92"/>
      <c r="B132" s="92"/>
      <c r="C132" s="92"/>
      <c r="D132" s="92"/>
      <c r="E132" s="92"/>
      <c r="F132" s="54"/>
      <c r="G132" s="92"/>
      <c r="H132" s="92"/>
    </row>
    <row r="133" spans="1:8" ht="14.25" customHeight="1">
      <c r="A133" s="4617" t="str">
        <f>CONCATENATE(Träger," ",Träger2)</f>
        <v xml:space="preserve"> </v>
      </c>
      <c r="B133" s="4617"/>
      <c r="C133" s="4617"/>
      <c r="D133" s="4617"/>
      <c r="E133" s="4617"/>
      <c r="F133" s="93"/>
      <c r="G133" s="4619" t="s">
        <v>355</v>
      </c>
      <c r="H133" s="4619"/>
    </row>
    <row r="134" spans="1:8" ht="14.25" customHeight="1">
      <c r="A134" s="4618"/>
      <c r="B134" s="4618"/>
      <c r="C134" s="4618"/>
      <c r="D134" s="4618"/>
      <c r="E134" s="4618"/>
      <c r="F134" s="93"/>
      <c r="G134" s="4620" t="str">
        <f>"in Nordrhein-Westfalen, vertreten durch"</f>
        <v>in Nordrhein-Westfalen, vertreten durch</v>
      </c>
      <c r="H134" s="4620"/>
    </row>
    <row r="135" spans="1:8" ht="14.25" customHeight="1">
      <c r="A135" s="4618"/>
      <c r="B135" s="4618"/>
      <c r="C135" s="4618"/>
      <c r="D135" s="4618"/>
      <c r="E135" s="4618"/>
      <c r="F135" s="93"/>
      <c r="G135"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135" s="4620"/>
    </row>
    <row r="136" spans="1:8" ht="14.25" customHeight="1">
      <c r="G136" s="4601" t="str">
        <f>IF('Copy &amp; Paste'!I1="BEK","der Pflegekasse der BARMER",IF('Copy &amp; Paste'!I1="BEK Schade","der Pflegekasse der BARMER",IF('Copy &amp; Paste'!I1="DAK"," der DAK-Gesundheit-PFLEGEKASSE",IF('Copy &amp; Paste'!I1="vdek","",IF(Ergebnis!C3="AOK WL","- die Gesundheitskasse.",IF(Ergebnis!C3="AOK NO","- die Gesundheitskasse.",""))))))</f>
        <v/>
      </c>
      <c r="H136" s="4601"/>
    </row>
    <row r="137" spans="1:8" ht="14.25" customHeight="1"/>
    <row r="138" spans="1:8" ht="14.25" customHeight="1"/>
    <row r="139" spans="1:8" ht="14.25" customHeight="1"/>
    <row r="140" spans="1:8" ht="14.25" customHeight="1"/>
    <row r="141" spans="1:8" ht="14.25" customHeight="1">
      <c r="G141" s="2829"/>
      <c r="H141" s="2829"/>
    </row>
    <row r="142" spans="1:8" ht="14.25" customHeight="1">
      <c r="G142" s="4613"/>
      <c r="H142" s="4613"/>
    </row>
    <row r="143" spans="1:8" ht="14.25" customHeight="1">
      <c r="G143" s="4614"/>
      <c r="H143" s="4614"/>
    </row>
    <row r="144" spans="1:8"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sheetData>
  <mergeCells count="38">
    <mergeCell ref="A12:D12"/>
    <mergeCell ref="A16:D16"/>
    <mergeCell ref="E12:F12"/>
    <mergeCell ref="E13:F13"/>
    <mergeCell ref="E14:F14"/>
    <mergeCell ref="E15:F15"/>
    <mergeCell ref="E16:F16"/>
    <mergeCell ref="G142:H142"/>
    <mergeCell ref="G143:H143"/>
    <mergeCell ref="A22:I22"/>
    <mergeCell ref="E92:F92"/>
    <mergeCell ref="A133:E135"/>
    <mergeCell ref="G133:H133"/>
    <mergeCell ref="G134:H134"/>
    <mergeCell ref="G135:H135"/>
    <mergeCell ref="A103:I103"/>
    <mergeCell ref="A104:I104"/>
    <mergeCell ref="A24:I24"/>
    <mergeCell ref="A25:I25"/>
    <mergeCell ref="A26:I26"/>
    <mergeCell ref="A76:I76"/>
    <mergeCell ref="A72:C72"/>
    <mergeCell ref="G3:H3"/>
    <mergeCell ref="A7:C7"/>
    <mergeCell ref="A8:C8"/>
    <mergeCell ref="G136:H136"/>
    <mergeCell ref="D3:E3"/>
    <mergeCell ref="A3:C3"/>
    <mergeCell ref="A4:C4"/>
    <mergeCell ref="A5:C5"/>
    <mergeCell ref="A6:C6"/>
    <mergeCell ref="D4:E4"/>
    <mergeCell ref="D5:E5"/>
    <mergeCell ref="D6:E6"/>
    <mergeCell ref="D7:E7"/>
    <mergeCell ref="D8:E8"/>
    <mergeCell ref="E17:F17"/>
    <mergeCell ref="A10:F10"/>
  </mergeCells>
  <conditionalFormatting sqref="H37">
    <cfRule type="cellIs" dxfId="202" priority="14" operator="equal">
      <formula>0</formula>
    </cfRule>
  </conditionalFormatting>
  <conditionalFormatting sqref="A35 H33">
    <cfRule type="cellIs" dxfId="201" priority="13" operator="equal">
      <formula>0</formula>
    </cfRule>
  </conditionalFormatting>
  <conditionalFormatting sqref="E12:E17">
    <cfRule type="containsErrors" dxfId="200" priority="1">
      <formula>ISERROR(E12)</formula>
    </cfRule>
  </conditionalFormatting>
  <printOptions horizontalCentered="1"/>
  <pageMargins left="0.78740157480314965" right="0.59055118110236227" top="0.39370078740157483" bottom="0.31496062992125984" header="0.31496062992125984" footer="0.23622047244094491"/>
  <pageSetup paperSize="9" scale="82" fitToWidth="7" fitToHeight="7" orientation="portrait" r:id="rId1"/>
  <headerFooter alignWithMargins="0"/>
  <rowBreaks count="2" manualBreakCount="2">
    <brk id="75" max="16383" man="1"/>
    <brk id="143"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EA29A1A3-C38C-4692-99E6-D2E6B6A8D750}">
            <xm:f>'84 9 Nachweis'!$S$40</xm:f>
            <x14:dxf>
              <font>
                <color theme="0"/>
              </font>
            </x14:dxf>
          </x14:cfRule>
          <xm:sqref>A120:I122</xm:sqref>
        </x14:conditionalFormatting>
        <x14:conditionalFormatting xmlns:xm="http://schemas.microsoft.com/office/excel/2006/main">
          <x14:cfRule type="expression" priority="5" id="{9B5392DD-7A87-4434-82AB-E564EF121D67}">
            <xm:f>Protokoll!$D$68=0</xm:f>
            <x14:dxf>
              <font>
                <color theme="0"/>
              </font>
            </x14:dxf>
          </x14:cfRule>
          <x14:cfRule type="expression" priority="6" id="{2E9E00EF-5952-4476-A3C2-232024328821}">
            <xm:f>'84 9 Nachweis'!$S$40=0</xm:f>
            <x14:dxf>
              <font>
                <color theme="0"/>
              </font>
            </x14:dxf>
          </x14:cfRule>
          <x14:cfRule type="expression" priority="7" id="{AC7E91AF-F99F-4C75-97E0-670BD81654F0}">
            <xm:f>'84 9 Nachweis'!$S$40=0</xm:f>
            <x14:dxf>
              <font>
                <color theme="0"/>
              </font>
            </x14:dxf>
          </x14:cfRule>
          <x14:cfRule type="expression" priority="8" id="{442BB08B-DCAE-4DF7-9D17-56834A762837}">
            <xm:f>'84 9 Nachweis'!$S$40=0</xm:f>
            <x14:dxf>
              <font>
                <color theme="0"/>
              </font>
            </x14:dxf>
          </x14:cfRule>
          <xm:sqref>A120:A122</xm:sqref>
        </x14:conditionalFormatting>
        <x14:conditionalFormatting xmlns:xm="http://schemas.microsoft.com/office/excel/2006/main">
          <x14:cfRule type="expression" priority="2" id="{9B0FA99A-4F02-4982-89C0-AE35010E24E1}">
            <xm:f>'Copy &amp; Paste'!$H$12&lt;1</xm:f>
            <x14:dxf>
              <font>
                <color theme="0"/>
              </font>
            </x14:dxf>
          </x14:cfRule>
          <xm:sqref>D92:D98</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CQ513"/>
  <sheetViews>
    <sheetView view="pageBreakPreview" topLeftCell="A294" zoomScale="120" zoomScaleNormal="120" zoomScaleSheetLayoutView="120" workbookViewId="0">
      <selection activeCell="A453" sqref="A453"/>
    </sheetView>
  </sheetViews>
  <sheetFormatPr baseColWidth="10" defaultColWidth="11.42578125" defaultRowHeight="18" customHeight="1" outlineLevelRow="1"/>
  <cols>
    <col min="1" max="1" width="5.28515625" style="53" customWidth="1"/>
    <col min="2" max="2" width="2.42578125" style="53" customWidth="1"/>
    <col min="3" max="3" width="16.7109375" style="53" customWidth="1"/>
    <col min="4" max="4" width="11.42578125" style="53"/>
    <col min="5" max="5" width="10.5703125" style="53" customWidth="1"/>
    <col min="6" max="6" width="6.28515625" style="53" customWidth="1"/>
    <col min="7" max="7" width="14.5703125" style="53" customWidth="1"/>
    <col min="8" max="8" width="24.5703125" style="53" customWidth="1"/>
    <col min="9" max="9" width="3.42578125" style="53" customWidth="1"/>
    <col min="10" max="10" width="2.42578125" style="53" customWidth="1"/>
    <col min="11" max="11" width="16.7109375" style="53" customWidth="1"/>
    <col min="12" max="12" width="11.42578125" style="53" customWidth="1"/>
    <col min="13" max="13" width="10.140625" style="53" customWidth="1"/>
    <col min="14" max="14" width="2" style="53" customWidth="1"/>
    <col min="15" max="15" width="11.42578125" style="53" customWidth="1"/>
    <col min="16" max="16" width="32.7109375" style="53" customWidth="1"/>
    <col min="17" max="16384" width="11.42578125" style="53"/>
  </cols>
  <sheetData>
    <row r="1" spans="1:9" ht="20.25">
      <c r="A1" s="2825"/>
      <c r="B1" s="2825"/>
      <c r="C1" s="2825"/>
      <c r="D1" s="2825"/>
      <c r="E1" s="2825"/>
      <c r="F1" s="2825"/>
      <c r="G1" s="2825"/>
      <c r="H1" s="2825"/>
      <c r="I1" s="2749"/>
    </row>
    <row r="2" spans="1:9" ht="18" customHeight="1">
      <c r="A2" s="4615" t="s">
        <v>265</v>
      </c>
      <c r="B2" s="4615"/>
      <c r="C2" s="4615"/>
      <c r="D2" s="4615"/>
      <c r="E2" s="4615"/>
      <c r="F2" s="4615"/>
      <c r="G2" s="4615"/>
      <c r="H2" s="4615"/>
      <c r="I2" s="4615"/>
    </row>
    <row r="3" spans="1:9" ht="18" customHeight="1">
      <c r="A3" s="4615" t="s">
        <v>280</v>
      </c>
      <c r="B3" s="4615"/>
      <c r="C3" s="4615"/>
      <c r="D3" s="4615"/>
      <c r="E3" s="4615"/>
      <c r="F3" s="4615"/>
      <c r="G3" s="4615"/>
      <c r="H3" s="4615"/>
      <c r="I3" s="4615"/>
    </row>
    <row r="4" spans="1:9" ht="18" customHeight="1">
      <c r="A4" s="4615" t="str">
        <f>"der vollstationären Pflege "&amp;IF('Copy &amp; Paste'!H12&lt;&gt;0,"und der Kurzzeitpflege","")</f>
        <v xml:space="preserve">der vollstationären Pflege </v>
      </c>
      <c r="B4" s="4615"/>
      <c r="C4" s="4615"/>
      <c r="D4" s="4615"/>
      <c r="E4" s="4615"/>
      <c r="F4" s="4615"/>
      <c r="G4" s="4615"/>
      <c r="H4" s="4615"/>
      <c r="I4" s="4615"/>
    </row>
    <row r="5" spans="1:9" ht="8.1" customHeight="1">
      <c r="A5" s="54"/>
      <c r="B5" s="54"/>
      <c r="C5" s="54"/>
      <c r="D5" s="54"/>
      <c r="E5" s="54"/>
      <c r="F5" s="54"/>
      <c r="G5" s="55"/>
      <c r="H5" s="55"/>
      <c r="I5" s="55"/>
    </row>
    <row r="6" spans="1:9" ht="18" customHeight="1">
      <c r="A6" s="54" t="s">
        <v>103</v>
      </c>
      <c r="B6" s="54"/>
      <c r="C6" s="54"/>
      <c r="D6" s="54"/>
      <c r="E6" s="54"/>
      <c r="F6" s="54"/>
      <c r="G6" s="55"/>
      <c r="H6" s="55"/>
      <c r="I6" s="55"/>
    </row>
    <row r="7" spans="1:9" ht="8.1" customHeight="1">
      <c r="A7" s="54"/>
      <c r="B7" s="54"/>
      <c r="C7" s="54"/>
      <c r="D7" s="54"/>
      <c r="E7" s="54"/>
      <c r="F7" s="54"/>
      <c r="G7" s="55"/>
      <c r="H7" s="55"/>
      <c r="I7" s="55"/>
    </row>
    <row r="8" spans="1:9" ht="18" customHeight="1">
      <c r="A8" s="112" t="str">
        <f>CONCATENATE(Träger," ",Träger2)</f>
        <v xml:space="preserve"> </v>
      </c>
      <c r="B8" s="112"/>
      <c r="C8" s="112"/>
      <c r="D8" s="112"/>
      <c r="E8" s="112"/>
      <c r="F8" s="54"/>
      <c r="G8" s="55"/>
      <c r="H8" s="55"/>
      <c r="I8" s="55"/>
    </row>
    <row r="9" spans="1:9" ht="18" customHeight="1">
      <c r="A9" s="56" t="str">
        <f>'Seite 1'!F7</f>
        <v/>
      </c>
      <c r="B9" s="54"/>
      <c r="C9" s="54"/>
      <c r="D9" s="54"/>
      <c r="E9" s="54"/>
      <c r="F9" s="54"/>
      <c r="G9" s="55"/>
      <c r="H9" s="55"/>
      <c r="I9" s="55"/>
    </row>
    <row r="10" spans="1:9" ht="18" customHeight="1">
      <c r="A10" s="56" t="str">
        <f>CONCATENATE('Seite 1'!$F$8," ",'Seite 1'!$G$8)</f>
        <v xml:space="preserve"> </v>
      </c>
      <c r="B10" s="54"/>
      <c r="C10" s="54"/>
      <c r="D10" s="54"/>
      <c r="E10" s="54"/>
      <c r="F10" s="54"/>
      <c r="G10" s="55"/>
      <c r="H10" s="57" t="s">
        <v>15</v>
      </c>
      <c r="I10" s="55"/>
    </row>
    <row r="11" spans="1:9" ht="24" customHeight="1">
      <c r="A11" s="54" t="s">
        <v>104</v>
      </c>
      <c r="B11" s="54"/>
      <c r="C11" s="54"/>
      <c r="D11" s="54"/>
      <c r="E11" s="54"/>
      <c r="F11" s="54"/>
      <c r="G11" s="55"/>
      <c r="H11" s="535">
        <f>IK</f>
        <v>0</v>
      </c>
      <c r="I11" s="55"/>
    </row>
    <row r="12" spans="1:9" ht="14.25">
      <c r="A12" s="54"/>
      <c r="B12" s="54"/>
      <c r="C12" s="54"/>
      <c r="D12" s="54"/>
      <c r="E12" s="54"/>
      <c r="F12" s="54"/>
      <c r="G12" s="55"/>
      <c r="H12" s="55"/>
      <c r="I12" s="55"/>
    </row>
    <row r="13" spans="1:9" ht="18" customHeight="1">
      <c r="A13" s="56">
        <f>IF('Copy &amp; Paste'!B6="",'Copy &amp; Paste'!B5,CONCATENATE('Copy &amp; Paste'!B5,", - ",'Copy &amp; Paste'!B6,"- , "))</f>
        <v>0</v>
      </c>
      <c r="B13" s="54"/>
      <c r="C13" s="54"/>
      <c r="D13" s="54"/>
      <c r="E13" s="54"/>
      <c r="F13" s="54"/>
      <c r="G13" s="55"/>
      <c r="I13" s="55"/>
    </row>
    <row r="14" spans="1:9" ht="18" customHeight="1">
      <c r="A14" s="56" t="str">
        <f>'Seite 1'!C7</f>
        <v/>
      </c>
      <c r="B14" s="54"/>
      <c r="C14" s="54"/>
      <c r="D14" s="54"/>
      <c r="E14" s="54"/>
      <c r="F14" s="54"/>
      <c r="G14" s="55"/>
      <c r="H14" s="453" t="s">
        <v>1212</v>
      </c>
      <c r="I14" s="55"/>
    </row>
    <row r="15" spans="1:9" ht="18" customHeight="1">
      <c r="A15" s="56" t="str">
        <f>CONCATENATE('Seite 1'!$C$8," ",'Seite 1'!$D$8)</f>
        <v xml:space="preserve"> </v>
      </c>
      <c r="B15" s="54"/>
      <c r="C15" s="54"/>
      <c r="D15" s="54"/>
      <c r="E15" s="54"/>
      <c r="F15" s="54"/>
      <c r="G15" s="55"/>
      <c r="H15" s="452">
        <f>'Copy &amp; Paste'!B15</f>
        <v>0</v>
      </c>
      <c r="I15" s="55"/>
    </row>
    <row r="16" spans="1:9" ht="18" customHeight="1">
      <c r="A16" s="54"/>
      <c r="B16" s="54"/>
      <c r="C16" s="54"/>
      <c r="D16" s="54"/>
      <c r="E16" s="54"/>
      <c r="F16" s="54"/>
      <c r="G16" s="55"/>
      <c r="H16" s="3650"/>
      <c r="I16" s="55"/>
    </row>
    <row r="17" spans="1:95" s="62" customFormat="1" ht="18" customHeight="1">
      <c r="A17" s="59" t="s">
        <v>746</v>
      </c>
      <c r="B17" s="59"/>
      <c r="C17" s="59"/>
      <c r="D17" s="59"/>
      <c r="E17" s="59"/>
      <c r="F17" s="59"/>
      <c r="G17" s="59"/>
      <c r="H17" s="60" t="s">
        <v>741</v>
      </c>
      <c r="I17" s="61"/>
    </row>
    <row r="18" spans="1:95" ht="8.1" customHeight="1">
      <c r="A18" s="54"/>
      <c r="B18" s="54"/>
      <c r="C18" s="54"/>
      <c r="D18" s="54"/>
      <c r="E18" s="54"/>
      <c r="F18" s="54"/>
      <c r="G18" s="55"/>
      <c r="H18" s="55"/>
      <c r="I18" s="55"/>
    </row>
    <row r="19" spans="1:95" ht="18" customHeight="1">
      <c r="A19" s="54" t="s">
        <v>105</v>
      </c>
      <c r="B19" s="54"/>
      <c r="C19" s="54" t="s">
        <v>743</v>
      </c>
      <c r="D19" s="54"/>
      <c r="E19" s="54"/>
      <c r="F19" s="54"/>
      <c r="G19" s="55"/>
      <c r="H19" s="55"/>
      <c r="I19" s="55"/>
    </row>
    <row r="20" spans="1:95" ht="8.1" customHeight="1">
      <c r="A20" s="54"/>
      <c r="B20" s="54"/>
      <c r="C20" s="54"/>
      <c r="D20" s="54"/>
      <c r="E20" s="54"/>
      <c r="F20" s="54"/>
      <c r="G20" s="55"/>
      <c r="H20" s="55"/>
      <c r="I20" s="55"/>
    </row>
    <row r="21" spans="1:95" s="15" customFormat="1" ht="18" customHeight="1">
      <c r="A21" s="54" t="s">
        <v>744</v>
      </c>
      <c r="B21" s="55"/>
      <c r="C21" s="56" t="s">
        <v>747</v>
      </c>
      <c r="D21" s="55"/>
      <c r="E21" s="55"/>
      <c r="F21" s="55"/>
      <c r="G21" s="55"/>
      <c r="H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row>
    <row r="22" spans="1:95" ht="18" customHeight="1">
      <c r="A22" s="54" t="s">
        <v>744</v>
      </c>
      <c r="B22" s="54"/>
      <c r="C22" s="56" t="s">
        <v>880</v>
      </c>
      <c r="D22" s="54"/>
      <c r="E22" s="54"/>
      <c r="F22" s="54"/>
      <c r="G22" s="55"/>
      <c r="H22" s="55"/>
      <c r="I22" s="55"/>
    </row>
    <row r="23" spans="1:95" ht="18" customHeight="1">
      <c r="A23" s="54" t="s">
        <v>745</v>
      </c>
      <c r="B23" s="54"/>
      <c r="C23" s="56" t="s">
        <v>350</v>
      </c>
      <c r="D23" s="54"/>
      <c r="E23" s="54"/>
      <c r="F23" s="54"/>
      <c r="G23" s="55"/>
      <c r="H23" s="55"/>
      <c r="I23" s="55"/>
    </row>
    <row r="24" spans="1:95" ht="18" customHeight="1">
      <c r="A24" s="54"/>
      <c r="B24" s="54"/>
      <c r="C24" s="54" t="s">
        <v>347</v>
      </c>
      <c r="D24" s="54"/>
      <c r="E24" s="54"/>
      <c r="F24" s="54"/>
      <c r="G24" s="55"/>
      <c r="H24" s="55"/>
      <c r="I24" s="55"/>
    </row>
    <row r="25" spans="1:95" ht="18" customHeight="1">
      <c r="A25" s="54" t="s">
        <v>744</v>
      </c>
      <c r="B25" s="54"/>
      <c r="C25" s="56" t="s">
        <v>1407</v>
      </c>
      <c r="D25" s="54"/>
      <c r="E25" s="54"/>
      <c r="F25" s="54"/>
      <c r="G25" s="55"/>
      <c r="H25" s="55"/>
      <c r="I25" s="55"/>
    </row>
    <row r="26" spans="1:95" ht="18" customHeight="1">
      <c r="A26" s="54" t="s">
        <v>744</v>
      </c>
      <c r="B26" s="54"/>
      <c r="C26" s="56" t="s">
        <v>1194</v>
      </c>
      <c r="D26" s="54"/>
      <c r="E26" s="54"/>
      <c r="F26" s="54"/>
      <c r="G26" s="55"/>
      <c r="H26" s="55"/>
      <c r="I26" s="55"/>
    </row>
    <row r="27" spans="1:95" ht="18" customHeight="1">
      <c r="A27" s="54" t="s">
        <v>744</v>
      </c>
      <c r="B27" s="54"/>
      <c r="C27" s="56" t="s">
        <v>787</v>
      </c>
      <c r="D27" s="54"/>
      <c r="E27" s="54"/>
      <c r="F27" s="54"/>
      <c r="G27" s="55"/>
      <c r="H27" s="55"/>
      <c r="I27" s="55"/>
    </row>
    <row r="28" spans="1:95" ht="18" customHeight="1">
      <c r="A28" s="54"/>
      <c r="B28" s="54"/>
      <c r="C28" s="56" t="s">
        <v>793</v>
      </c>
      <c r="D28" s="54"/>
      <c r="E28" s="54"/>
      <c r="F28" s="54"/>
      <c r="G28" s="55"/>
      <c r="H28" s="55"/>
      <c r="I28" s="55"/>
    </row>
    <row r="29" spans="1:95" ht="8.1" customHeight="1">
      <c r="A29" s="54"/>
      <c r="B29" s="54"/>
      <c r="C29" s="54"/>
      <c r="D29" s="54"/>
      <c r="E29" s="54"/>
      <c r="F29" s="54"/>
      <c r="G29" s="55"/>
      <c r="H29" s="55"/>
      <c r="I29" s="55"/>
    </row>
    <row r="30" spans="1:95" ht="18" customHeight="1">
      <c r="A30" s="54" t="s">
        <v>352</v>
      </c>
      <c r="B30" s="54"/>
      <c r="C30" s="56" t="s">
        <v>353</v>
      </c>
      <c r="D30" s="54"/>
      <c r="E30" s="54"/>
      <c r="F30" s="54"/>
      <c r="G30" s="55"/>
      <c r="H30" s="55"/>
      <c r="I30" s="55"/>
    </row>
    <row r="31" spans="1:95" ht="8.1" customHeight="1">
      <c r="A31" s="54"/>
      <c r="B31" s="54"/>
      <c r="C31" s="54"/>
      <c r="D31" s="54"/>
      <c r="E31" s="54"/>
      <c r="F31" s="54"/>
      <c r="G31" s="55"/>
      <c r="H31" s="55"/>
      <c r="I31" s="55"/>
    </row>
    <row r="32" spans="1:95" ht="18" customHeight="1">
      <c r="A32" s="54"/>
      <c r="B32" s="54"/>
      <c r="C32" s="63"/>
      <c r="D32" s="64" t="s">
        <v>788</v>
      </c>
      <c r="E32" s="54"/>
      <c r="F32" s="54"/>
      <c r="G32" s="55"/>
      <c r="H32" s="55"/>
      <c r="I32" s="55"/>
    </row>
    <row r="33" spans="1:9" ht="18" customHeight="1">
      <c r="A33" s="54"/>
      <c r="B33" s="54"/>
      <c r="C33" s="63"/>
      <c r="D33" s="64" t="s">
        <v>1068</v>
      </c>
      <c r="E33" s="54"/>
      <c r="F33" s="54"/>
      <c r="G33" s="55"/>
      <c r="H33" s="55"/>
      <c r="I33" s="55"/>
    </row>
    <row r="34" spans="1:9" ht="18" customHeight="1">
      <c r="A34" s="54"/>
      <c r="B34" s="54"/>
      <c r="C34" s="63"/>
      <c r="D34" s="64" t="s">
        <v>789</v>
      </c>
      <c r="E34" s="54"/>
      <c r="F34" s="54"/>
      <c r="G34" s="55"/>
      <c r="H34" s="55"/>
      <c r="I34" s="55"/>
    </row>
    <row r="35" spans="1:9" ht="18" customHeight="1">
      <c r="A35" s="54"/>
      <c r="B35" s="54"/>
      <c r="C35" s="63"/>
      <c r="D35" s="64" t="s">
        <v>790</v>
      </c>
      <c r="E35" s="54"/>
      <c r="F35" s="54"/>
      <c r="G35" s="55"/>
      <c r="H35" s="55"/>
      <c r="I35" s="55"/>
    </row>
    <row r="36" spans="1:9" ht="18" customHeight="1">
      <c r="A36" s="54"/>
      <c r="B36" s="54"/>
      <c r="C36" s="63"/>
      <c r="D36" s="64" t="s">
        <v>792</v>
      </c>
      <c r="E36" s="54"/>
      <c r="F36" s="54"/>
      <c r="G36" s="55"/>
      <c r="H36" s="55"/>
      <c r="I36" s="55"/>
    </row>
    <row r="37" spans="1:9" ht="18" customHeight="1">
      <c r="A37" s="54"/>
      <c r="B37" s="54"/>
      <c r="C37" s="63"/>
      <c r="D37" s="64" t="s">
        <v>791</v>
      </c>
      <c r="E37" s="54"/>
      <c r="F37" s="54"/>
      <c r="G37" s="55"/>
      <c r="H37" s="55"/>
      <c r="I37" s="55"/>
    </row>
    <row r="38" spans="1:9" ht="8.1" customHeight="1">
      <c r="A38" s="54"/>
      <c r="B38" s="54"/>
      <c r="C38" s="54"/>
      <c r="D38" s="54"/>
      <c r="E38" s="54"/>
      <c r="F38" s="54"/>
      <c r="G38" s="55"/>
      <c r="H38" s="55"/>
      <c r="I38" s="55"/>
    </row>
    <row r="39" spans="1:9" ht="18" customHeight="1">
      <c r="B39" s="54"/>
      <c r="C39" s="54" t="s">
        <v>321</v>
      </c>
      <c r="D39" s="54"/>
      <c r="E39" s="54"/>
      <c r="F39" s="54"/>
      <c r="G39" s="55"/>
      <c r="H39" s="55"/>
      <c r="I39" s="55"/>
    </row>
    <row r="40" spans="1:9" ht="8.1" customHeight="1">
      <c r="A40" s="54"/>
      <c r="B40" s="54"/>
      <c r="C40" s="54"/>
      <c r="D40" s="54"/>
      <c r="E40" s="54"/>
      <c r="F40" s="54"/>
      <c r="G40" s="55"/>
      <c r="H40" s="55"/>
      <c r="I40" s="55"/>
    </row>
    <row r="41" spans="1:9" ht="18" customHeight="1">
      <c r="B41" s="54"/>
      <c r="C41" s="56" t="s">
        <v>278</v>
      </c>
      <c r="D41" s="54"/>
      <c r="E41" s="54"/>
      <c r="F41" s="54"/>
      <c r="G41" s="55"/>
      <c r="H41" s="55"/>
      <c r="I41" s="55"/>
    </row>
    <row r="42" spans="1:9" ht="18" customHeight="1">
      <c r="B42" s="54"/>
      <c r="C42" s="65" t="s">
        <v>966</v>
      </c>
      <c r="D42" s="54"/>
      <c r="E42" s="54"/>
      <c r="F42" s="54"/>
      <c r="G42" s="55"/>
      <c r="H42" s="55"/>
      <c r="I42" s="55"/>
    </row>
    <row r="43" spans="1:9" ht="14.25">
      <c r="A43" s="54"/>
      <c r="B43" s="54"/>
      <c r="D43" s="54"/>
      <c r="E43" s="54"/>
      <c r="F43" s="54"/>
      <c r="G43" s="55"/>
      <c r="H43" s="55"/>
      <c r="I43" s="55"/>
    </row>
    <row r="44" spans="1:9" ht="14.25">
      <c r="A44" s="54"/>
      <c r="B44" s="54"/>
      <c r="C44" s="54"/>
      <c r="D44" s="54"/>
      <c r="E44" s="54"/>
      <c r="F44" s="54"/>
      <c r="G44" s="55"/>
      <c r="H44" s="55"/>
      <c r="I44" s="55"/>
    </row>
    <row r="45" spans="1:9" ht="17.25" customHeight="1">
      <c r="A45" s="54" t="s">
        <v>236</v>
      </c>
      <c r="B45" s="54"/>
      <c r="C45" s="54"/>
      <c r="D45" s="56" t="str">
        <f>"Landschaftsverband "&amp;IF(Landesteil="Westfalen-Lippe","Westfalen-Lippe","Rheinland")</f>
        <v>Landschaftsverband Rheinland</v>
      </c>
      <c r="E45" s="54"/>
      <c r="F45" s="54"/>
      <c r="G45" s="55"/>
      <c r="H45" s="55"/>
      <c r="I45" s="55"/>
    </row>
    <row r="46" spans="1:9" ht="18" customHeight="1">
      <c r="A46" s="54"/>
      <c r="B46" s="54"/>
      <c r="C46" s="54"/>
      <c r="D46" s="54" t="s">
        <v>348</v>
      </c>
      <c r="E46" s="54"/>
      <c r="F46" s="54"/>
      <c r="G46" s="55"/>
      <c r="H46" s="55"/>
      <c r="I46" s="55"/>
    </row>
    <row r="47" spans="1:9" ht="18" customHeight="1">
      <c r="A47" s="54"/>
      <c r="B47" s="54"/>
      <c r="C47" s="54"/>
      <c r="D47" s="54"/>
      <c r="E47" s="54"/>
      <c r="F47" s="54"/>
      <c r="G47" s="55"/>
      <c r="H47" s="66" t="s">
        <v>742</v>
      </c>
      <c r="I47" s="55"/>
    </row>
    <row r="48" spans="1:9" ht="18" customHeight="1">
      <c r="A48" s="54" t="s">
        <v>748</v>
      </c>
      <c r="B48" s="54"/>
      <c r="C48" s="54"/>
      <c r="D48" s="54"/>
      <c r="E48" s="54"/>
      <c r="F48" s="54"/>
      <c r="G48" s="55"/>
      <c r="H48" s="55"/>
      <c r="I48" s="55"/>
    </row>
    <row r="49" spans="1:9" ht="18" customHeight="1">
      <c r="A49" s="54"/>
      <c r="B49" s="54"/>
      <c r="C49" s="54"/>
      <c r="D49" s="54"/>
      <c r="E49" s="54"/>
      <c r="F49" s="54"/>
      <c r="G49" s="55"/>
      <c r="H49" s="55"/>
      <c r="I49" s="55"/>
    </row>
    <row r="50" spans="1:9" ht="18" customHeight="1">
      <c r="A50" s="54"/>
      <c r="B50" s="54"/>
      <c r="C50" s="54"/>
      <c r="D50" s="54"/>
      <c r="E50" s="54"/>
      <c r="F50" s="54"/>
      <c r="G50" s="55"/>
      <c r="H50" s="55"/>
      <c r="I50" s="55"/>
    </row>
    <row r="51" spans="1:9" ht="18" customHeight="1">
      <c r="A51" s="54"/>
      <c r="B51" s="54"/>
      <c r="C51" s="54"/>
      <c r="D51" s="54"/>
      <c r="E51" s="54"/>
      <c r="F51" s="54"/>
      <c r="G51" s="55"/>
      <c r="H51" s="55"/>
      <c r="I51" s="55"/>
    </row>
    <row r="52" spans="1:9" ht="18" customHeight="1">
      <c r="A52" s="54"/>
      <c r="B52" s="54"/>
      <c r="C52" s="54"/>
      <c r="D52" s="54"/>
      <c r="E52" s="54"/>
      <c r="F52" s="54"/>
      <c r="G52" s="55"/>
      <c r="H52" s="55"/>
      <c r="I52" s="55"/>
    </row>
    <row r="53" spans="1:9" ht="14.25" customHeight="1">
      <c r="A53" s="4623" t="s">
        <v>106</v>
      </c>
      <c r="B53" s="4623"/>
      <c r="C53" s="4623"/>
      <c r="D53" s="4623"/>
      <c r="E53" s="4623"/>
      <c r="F53" s="4623"/>
      <c r="G53" s="4623"/>
      <c r="H53" s="4623"/>
      <c r="I53" s="4623"/>
    </row>
    <row r="54" spans="1:9" ht="14.25" customHeight="1">
      <c r="A54" s="67"/>
      <c r="B54" s="67"/>
      <c r="C54" s="67"/>
      <c r="D54" s="67"/>
      <c r="E54" s="67"/>
      <c r="F54" s="67"/>
      <c r="G54" s="67"/>
      <c r="H54" s="67"/>
    </row>
    <row r="55" spans="1:9" ht="14.25" customHeight="1">
      <c r="A55" s="4641" t="s">
        <v>107</v>
      </c>
      <c r="B55" s="4641"/>
      <c r="C55" s="4641"/>
      <c r="D55" s="4641"/>
      <c r="E55" s="4641"/>
      <c r="F55" s="4641"/>
      <c r="G55" s="4641"/>
      <c r="H55" s="4641"/>
      <c r="I55" s="4641"/>
    </row>
    <row r="56" spans="1:9" ht="14.25" customHeight="1">
      <c r="A56" s="4641" t="s">
        <v>108</v>
      </c>
      <c r="B56" s="4641"/>
      <c r="C56" s="4641"/>
      <c r="D56" s="4641"/>
      <c r="E56" s="4641"/>
      <c r="F56" s="4641"/>
      <c r="G56" s="4641"/>
      <c r="H56" s="4641"/>
      <c r="I56" s="4641"/>
    </row>
    <row r="57" spans="1:9" ht="14.25">
      <c r="A57" s="54"/>
      <c r="B57" s="54"/>
      <c r="C57" s="54"/>
      <c r="D57" s="54"/>
      <c r="E57" s="54"/>
      <c r="F57" s="54"/>
      <c r="G57" s="54"/>
      <c r="H57" s="54"/>
    </row>
    <row r="58" spans="1:9" ht="14.25">
      <c r="A58" s="54" t="str">
        <f>"Gegenstand dieser Vereinbarung ist die Vergütung der stationären Pflegeleistungen, der "</f>
        <v xml:space="preserve">Gegenstand dieser Vereinbarung ist die Vergütung der stationären Pflegeleistungen, der </v>
      </c>
      <c r="B58" s="54"/>
      <c r="C58" s="54"/>
      <c r="D58" s="54"/>
      <c r="E58" s="54"/>
      <c r="F58" s="54"/>
      <c r="G58" s="54"/>
      <c r="H58" s="54"/>
    </row>
    <row r="59" spans="1:9" ht="14.25">
      <c r="A59" s="54" t="s">
        <v>932</v>
      </c>
      <c r="B59" s="54"/>
      <c r="C59" s="54"/>
      <c r="D59" s="54"/>
      <c r="E59" s="54"/>
      <c r="F59" s="54"/>
      <c r="G59" s="54"/>
      <c r="H59" s="54"/>
    </row>
    <row r="60" spans="1:9" ht="14.25">
      <c r="A60" s="54" t="s">
        <v>933</v>
      </c>
      <c r="B60" s="54"/>
      <c r="C60" s="54"/>
      <c r="D60" s="54"/>
      <c r="E60" s="54"/>
      <c r="F60" s="54"/>
      <c r="G60" s="54"/>
      <c r="H60" s="54"/>
    </row>
    <row r="61" spans="1:9" ht="14.25">
      <c r="A61" s="54" t="s">
        <v>934</v>
      </c>
      <c r="B61" s="54"/>
      <c r="C61" s="54"/>
      <c r="D61" s="54"/>
      <c r="E61" s="54"/>
      <c r="F61" s="54"/>
      <c r="G61" s="54"/>
      <c r="H61" s="54"/>
    </row>
    <row r="62" spans="1:9" ht="14.25">
      <c r="A62" s="54" t="s">
        <v>935</v>
      </c>
      <c r="B62" s="54"/>
      <c r="C62" s="54"/>
      <c r="D62" s="54"/>
      <c r="E62" s="54"/>
      <c r="F62" s="54"/>
      <c r="G62" s="54"/>
      <c r="H62" s="54"/>
    </row>
    <row r="63" spans="1:9" ht="14.25">
      <c r="A63" s="54"/>
      <c r="B63" s="54"/>
      <c r="C63" s="54"/>
      <c r="D63" s="54"/>
      <c r="E63" s="54"/>
      <c r="F63" s="54"/>
      <c r="G63" s="54"/>
      <c r="H63" s="54"/>
    </row>
    <row r="64" spans="1:9" ht="14.25">
      <c r="A64" s="54"/>
      <c r="B64" s="54"/>
      <c r="C64" s="54"/>
      <c r="D64" s="54"/>
      <c r="E64" s="54"/>
      <c r="F64" s="54"/>
      <c r="G64" s="54"/>
      <c r="H64" s="54"/>
    </row>
    <row r="65" spans="1:9" ht="15">
      <c r="A65" s="4641" t="s">
        <v>109</v>
      </c>
      <c r="B65" s="4641"/>
      <c r="C65" s="4641"/>
      <c r="D65" s="4641"/>
      <c r="E65" s="4641"/>
      <c r="F65" s="4641"/>
      <c r="G65" s="4641"/>
      <c r="H65" s="4641"/>
      <c r="I65" s="4641"/>
    </row>
    <row r="66" spans="1:9" ht="15">
      <c r="A66" s="4641" t="s">
        <v>281</v>
      </c>
      <c r="B66" s="4641"/>
      <c r="C66" s="4641"/>
      <c r="D66" s="4641"/>
      <c r="E66" s="4641"/>
      <c r="F66" s="4641"/>
      <c r="G66" s="4641"/>
      <c r="H66" s="4641"/>
      <c r="I66" s="4641"/>
    </row>
    <row r="67" spans="1:9" ht="14.25">
      <c r="A67" s="54"/>
      <c r="B67" s="54"/>
      <c r="C67" s="54"/>
      <c r="D67" s="54"/>
      <c r="E67" s="54"/>
      <c r="F67" s="54"/>
      <c r="G67" s="54"/>
      <c r="H67" s="54"/>
    </row>
    <row r="68" spans="1:9" ht="14.25">
      <c r="A68" s="54" t="s">
        <v>79</v>
      </c>
      <c r="B68" s="54" t="s">
        <v>282</v>
      </c>
      <c r="C68" s="54"/>
      <c r="D68" s="54"/>
      <c r="E68" s="54"/>
      <c r="F68" s="54"/>
      <c r="G68" s="54"/>
      <c r="H68" s="54"/>
    </row>
    <row r="69" spans="1:9" ht="14.25">
      <c r="A69" s="54"/>
      <c r="B69" s="54" t="s">
        <v>283</v>
      </c>
      <c r="C69" s="54"/>
      <c r="D69" s="54"/>
      <c r="E69" s="54"/>
      <c r="F69" s="54"/>
      <c r="G69" s="54"/>
      <c r="H69" s="54"/>
    </row>
    <row r="70" spans="1:9" ht="14.25">
      <c r="A70" s="54"/>
      <c r="B70" s="54" t="s">
        <v>284</v>
      </c>
      <c r="C70" s="54"/>
      <c r="D70" s="54"/>
      <c r="E70" s="54"/>
      <c r="F70" s="54"/>
      <c r="G70" s="54"/>
      <c r="H70" s="54"/>
    </row>
    <row r="71" spans="1:9" ht="14.25">
      <c r="A71" s="54"/>
      <c r="B71" s="54"/>
      <c r="C71" s="54"/>
      <c r="D71" s="54"/>
      <c r="E71" s="54"/>
      <c r="F71" s="54"/>
      <c r="G71" s="54"/>
      <c r="H71" s="54"/>
    </row>
    <row r="72" spans="1:9" ht="14.25">
      <c r="A72" s="54" t="s">
        <v>112</v>
      </c>
      <c r="B72" s="54" t="s">
        <v>285</v>
      </c>
      <c r="C72" s="54"/>
      <c r="D72" s="54"/>
      <c r="E72" s="54"/>
      <c r="F72" s="54"/>
      <c r="G72" s="54"/>
      <c r="H72" s="54"/>
    </row>
    <row r="73" spans="1:9" ht="14.25">
      <c r="A73" s="54"/>
      <c r="B73" s="54" t="s">
        <v>286</v>
      </c>
      <c r="C73" s="54"/>
      <c r="D73" s="54"/>
      <c r="E73" s="54"/>
      <c r="F73" s="54"/>
      <c r="G73" s="54"/>
      <c r="H73" s="54"/>
    </row>
    <row r="74" spans="1:9" ht="14.25">
      <c r="A74" s="54"/>
      <c r="B74" s="54" t="s">
        <v>849</v>
      </c>
      <c r="C74" s="54"/>
      <c r="D74" s="54"/>
      <c r="E74" s="54"/>
      <c r="F74" s="54"/>
      <c r="G74" s="54"/>
      <c r="H74" s="54"/>
    </row>
    <row r="75" spans="1:9" ht="14.25">
      <c r="A75" s="54"/>
      <c r="B75" s="54" t="s">
        <v>850</v>
      </c>
      <c r="C75" s="54"/>
      <c r="D75" s="54"/>
      <c r="E75" s="54"/>
      <c r="F75" s="54"/>
      <c r="G75" s="54"/>
      <c r="H75" s="54"/>
    </row>
    <row r="76" spans="1:9" ht="14.25">
      <c r="A76" s="54"/>
      <c r="B76" s="54"/>
      <c r="C76" s="54"/>
      <c r="D76" s="54"/>
      <c r="E76" s="54"/>
      <c r="F76" s="54"/>
      <c r="G76" s="54"/>
      <c r="H76" s="54"/>
    </row>
    <row r="77" spans="1:9" ht="14.25">
      <c r="A77" s="54"/>
      <c r="B77" s="54" t="s">
        <v>848</v>
      </c>
      <c r="C77" s="54"/>
      <c r="D77" s="54"/>
      <c r="E77" s="54"/>
      <c r="F77" s="54"/>
      <c r="G77" s="54"/>
      <c r="H77" s="54"/>
    </row>
    <row r="78" spans="1:9" ht="14.25">
      <c r="A78" s="54"/>
      <c r="B78" s="54" t="s">
        <v>287</v>
      </c>
      <c r="C78" s="54"/>
      <c r="D78" s="54"/>
      <c r="E78" s="54"/>
      <c r="F78" s="54"/>
      <c r="G78" s="54"/>
      <c r="H78" s="54"/>
    </row>
    <row r="79" spans="1:9" ht="14.25">
      <c r="A79" s="54"/>
      <c r="B79" s="54" t="s">
        <v>879</v>
      </c>
      <c r="C79" s="54"/>
      <c r="D79" s="54"/>
      <c r="E79" s="54"/>
      <c r="F79" s="54"/>
      <c r="G79" s="54"/>
      <c r="H79" s="54"/>
    </row>
    <row r="80" spans="1:9" ht="14.25">
      <c r="A80" s="54"/>
      <c r="B80" s="54" t="str">
        <f>"mit Pflegebedürftigen in besonderen Pflegesituationen ist zu gewährleisten."</f>
        <v>mit Pflegebedürftigen in besonderen Pflegesituationen ist zu gewährleisten.</v>
      </c>
      <c r="C80" s="54"/>
      <c r="D80" s="54"/>
      <c r="E80" s="54"/>
      <c r="F80" s="54"/>
      <c r="G80" s="54"/>
      <c r="H80" s="54"/>
    </row>
    <row r="81" spans="1:8" ht="14.25">
      <c r="A81" s="54"/>
      <c r="B81" s="54"/>
      <c r="C81" s="54"/>
      <c r="D81" s="54"/>
      <c r="E81" s="54"/>
      <c r="F81" s="54"/>
      <c r="G81" s="54"/>
      <c r="H81" s="54"/>
    </row>
    <row r="82" spans="1:8" ht="14.25">
      <c r="A82" s="54" t="s">
        <v>113</v>
      </c>
      <c r="B82" s="54" t="s">
        <v>936</v>
      </c>
      <c r="C82" s="54"/>
      <c r="D82" s="54"/>
      <c r="E82" s="54"/>
      <c r="F82" s="54"/>
      <c r="G82" s="54"/>
      <c r="H82" s="54"/>
    </row>
    <row r="83" spans="1:8" ht="14.25">
      <c r="A83" s="54"/>
      <c r="B83" s="54" t="s">
        <v>937</v>
      </c>
      <c r="C83" s="54"/>
      <c r="D83" s="54"/>
      <c r="E83" s="54"/>
      <c r="F83" s="54"/>
      <c r="G83" s="54"/>
      <c r="H83" s="54"/>
    </row>
    <row r="84" spans="1:8" ht="14.25">
      <c r="A84" s="54"/>
      <c r="B84" s="54" t="s">
        <v>938</v>
      </c>
      <c r="C84" s="54"/>
      <c r="D84" s="54"/>
      <c r="E84" s="54"/>
      <c r="F84" s="54"/>
      <c r="G84" s="54"/>
      <c r="H84" s="54"/>
    </row>
    <row r="85" spans="1:8" ht="14.25">
      <c r="A85" s="54"/>
      <c r="B85" s="54"/>
      <c r="C85" s="54"/>
      <c r="D85" s="54"/>
      <c r="E85" s="54"/>
      <c r="F85" s="54"/>
      <c r="G85" s="54"/>
      <c r="H85" s="54"/>
    </row>
    <row r="86" spans="1:8" ht="14.25">
      <c r="A86" s="54"/>
      <c r="B86" s="54" t="s">
        <v>288</v>
      </c>
      <c r="C86" s="54" t="s">
        <v>289</v>
      </c>
      <c r="D86" s="54"/>
      <c r="E86" s="54"/>
      <c r="F86" s="54"/>
      <c r="G86" s="54"/>
      <c r="H86" s="54"/>
    </row>
    <row r="87" spans="1:8" ht="14.25">
      <c r="A87" s="54"/>
      <c r="B87" s="54" t="s">
        <v>288</v>
      </c>
      <c r="C87" s="54" t="s">
        <v>290</v>
      </c>
      <c r="D87" s="54"/>
      <c r="E87" s="54"/>
      <c r="F87" s="54"/>
      <c r="G87" s="54"/>
      <c r="H87" s="54"/>
    </row>
    <row r="88" spans="1:8" ht="14.25">
      <c r="A88" s="54"/>
      <c r="B88" s="54" t="s">
        <v>288</v>
      </c>
      <c r="C88" s="54" t="s">
        <v>291</v>
      </c>
      <c r="D88" s="54"/>
      <c r="E88" s="54"/>
      <c r="F88" s="54"/>
      <c r="G88" s="54"/>
      <c r="H88" s="54"/>
    </row>
    <row r="89" spans="1:8" ht="14.25">
      <c r="A89" s="54"/>
      <c r="B89" s="54" t="s">
        <v>288</v>
      </c>
      <c r="C89" s="54" t="s">
        <v>292</v>
      </c>
      <c r="D89" s="54"/>
      <c r="E89" s="54"/>
      <c r="F89" s="54"/>
      <c r="G89" s="54"/>
      <c r="H89" s="54"/>
    </row>
    <row r="90" spans="1:8" ht="14.25">
      <c r="A90" s="54"/>
      <c r="B90" s="54" t="s">
        <v>288</v>
      </c>
      <c r="C90" s="54" t="s">
        <v>293</v>
      </c>
      <c r="D90" s="54"/>
      <c r="E90" s="54"/>
      <c r="F90" s="54"/>
      <c r="G90" s="54"/>
      <c r="H90" s="54"/>
    </row>
    <row r="91" spans="1:8" ht="14.25">
      <c r="A91" s="54"/>
      <c r="B91" s="54" t="s">
        <v>288</v>
      </c>
      <c r="C91" s="54" t="s">
        <v>294</v>
      </c>
      <c r="D91" s="54"/>
      <c r="E91" s="54"/>
      <c r="F91" s="54"/>
      <c r="G91" s="54"/>
      <c r="H91" s="54"/>
    </row>
    <row r="92" spans="1:8" ht="14.25">
      <c r="A92" s="54"/>
      <c r="B92" s="54" t="s">
        <v>288</v>
      </c>
      <c r="C92" s="54" t="s">
        <v>295</v>
      </c>
      <c r="D92" s="54"/>
      <c r="E92" s="54"/>
      <c r="F92" s="54"/>
      <c r="G92" s="54"/>
      <c r="H92" s="54"/>
    </row>
    <row r="93" spans="1:8" ht="14.25">
      <c r="A93" s="54"/>
      <c r="B93" s="54" t="s">
        <v>288</v>
      </c>
      <c r="C93" s="54" t="s">
        <v>296</v>
      </c>
      <c r="D93" s="54"/>
      <c r="E93" s="54"/>
      <c r="F93" s="54"/>
      <c r="G93" s="54"/>
      <c r="H93" s="54"/>
    </row>
    <row r="94" spans="1:8" ht="14.25">
      <c r="A94" s="54"/>
      <c r="B94" s="54" t="s">
        <v>288</v>
      </c>
      <c r="C94" s="54" t="s">
        <v>297</v>
      </c>
      <c r="D94" s="54"/>
      <c r="E94" s="54"/>
      <c r="F94" s="54"/>
      <c r="G94" s="54"/>
      <c r="H94" s="54"/>
    </row>
    <row r="95" spans="1:8" ht="14.25">
      <c r="A95" s="54"/>
      <c r="B95" s="54" t="s">
        <v>288</v>
      </c>
      <c r="C95" s="54" t="s">
        <v>298</v>
      </c>
      <c r="D95" s="54"/>
      <c r="E95" s="54"/>
      <c r="F95" s="54"/>
      <c r="G95" s="54"/>
      <c r="H95" s="54"/>
    </row>
    <row r="96" spans="1:8" ht="14.25">
      <c r="A96" s="54"/>
      <c r="B96" s="54"/>
      <c r="C96" s="54"/>
      <c r="D96" s="54"/>
      <c r="E96" s="54"/>
      <c r="F96" s="54"/>
      <c r="G96" s="54"/>
      <c r="H96" s="54"/>
    </row>
    <row r="97" spans="1:8" ht="14.25">
      <c r="A97" s="54"/>
      <c r="B97" s="69" t="s">
        <v>974</v>
      </c>
      <c r="C97" s="54"/>
      <c r="D97" s="54"/>
      <c r="E97" s="54"/>
      <c r="F97" s="54"/>
      <c r="G97" s="54"/>
      <c r="H97" s="54"/>
    </row>
    <row r="98" spans="1:8" ht="14.25">
      <c r="A98" s="54"/>
      <c r="B98" s="69" t="s">
        <v>975</v>
      </c>
      <c r="C98" s="54"/>
      <c r="D98" s="54"/>
      <c r="E98" s="54"/>
      <c r="F98" s="54"/>
      <c r="G98" s="54"/>
      <c r="H98" s="54"/>
    </row>
    <row r="99" spans="1:8" ht="14.25">
      <c r="A99" s="54"/>
      <c r="B99" s="69" t="s">
        <v>300</v>
      </c>
      <c r="C99" s="54"/>
      <c r="D99" s="54"/>
      <c r="E99" s="54"/>
      <c r="F99" s="54"/>
      <c r="G99" s="54"/>
      <c r="H99" s="54"/>
    </row>
    <row r="100" spans="1:8" ht="14.25">
      <c r="A100" s="54"/>
      <c r="B100" s="69"/>
      <c r="C100" s="54"/>
      <c r="D100" s="54"/>
      <c r="E100" s="54"/>
      <c r="F100" s="54"/>
      <c r="G100" s="54"/>
      <c r="H100" s="54"/>
    </row>
    <row r="101" spans="1:8" ht="14.25">
      <c r="A101" s="69" t="s">
        <v>279</v>
      </c>
      <c r="B101" s="69" t="s">
        <v>301</v>
      </c>
      <c r="C101" s="69"/>
      <c r="D101" s="69"/>
      <c r="E101" s="69"/>
      <c r="F101" s="69"/>
      <c r="G101" s="69"/>
      <c r="H101" s="69"/>
    </row>
    <row r="102" spans="1:8" ht="14.25">
      <c r="A102" s="69"/>
      <c r="B102" s="69"/>
      <c r="C102" s="69"/>
      <c r="D102" s="69"/>
      <c r="E102" s="69"/>
      <c r="F102" s="69"/>
      <c r="G102" s="69"/>
      <c r="H102" s="69"/>
    </row>
    <row r="103" spans="1:8" ht="14.25">
      <c r="A103" s="69"/>
      <c r="B103" s="463" t="str">
        <f>IF('Copy &amp; Paste'!D133="","",'Copy &amp; Paste'!D133)</f>
        <v>x</v>
      </c>
      <c r="C103" s="70" t="s">
        <v>303</v>
      </c>
      <c r="D103" s="69"/>
      <c r="E103" s="69"/>
      <c r="F103" s="69"/>
      <c r="G103" s="69"/>
      <c r="H103" s="69"/>
    </row>
    <row r="104" spans="1:8" ht="14.25">
      <c r="A104" s="69"/>
      <c r="B104" s="462"/>
      <c r="C104" s="70"/>
      <c r="D104" s="69"/>
      <c r="E104" s="69"/>
      <c r="F104" s="69"/>
      <c r="G104" s="69"/>
      <c r="H104" s="69"/>
    </row>
    <row r="105" spans="1:8" ht="14.25">
      <c r="A105" s="69"/>
      <c r="B105" s="463" t="str">
        <f>IF('Copy &amp; Paste'!C133="","",'Copy &amp; Paste'!C133)</f>
        <v/>
      </c>
      <c r="C105" s="70" t="s">
        <v>302</v>
      </c>
      <c r="E105" s="69"/>
      <c r="F105" s="69"/>
      <c r="G105" s="69"/>
      <c r="H105" s="69"/>
    </row>
    <row r="106" spans="1:8" ht="14.25">
      <c r="A106" s="69"/>
      <c r="B106" s="69"/>
      <c r="C106" s="70"/>
      <c r="E106" s="69"/>
      <c r="F106" s="69"/>
      <c r="G106" s="69"/>
      <c r="H106" s="69"/>
    </row>
    <row r="107" spans="1:8" ht="14.25">
      <c r="A107" s="69"/>
      <c r="B107" s="69"/>
      <c r="C107" s="70"/>
      <c r="E107" s="69"/>
      <c r="F107" s="69"/>
      <c r="G107" s="69"/>
      <c r="H107" s="69"/>
    </row>
    <row r="108" spans="1:8" ht="14.25">
      <c r="A108" s="69"/>
      <c r="B108" s="69"/>
      <c r="C108" s="70"/>
      <c r="E108" s="69"/>
      <c r="F108" s="69"/>
      <c r="G108" s="69"/>
      <c r="H108" s="69"/>
    </row>
    <row r="109" spans="1:8" ht="14.25">
      <c r="A109" s="69"/>
      <c r="B109" s="69"/>
      <c r="C109" s="70"/>
      <c r="E109" s="69"/>
      <c r="F109" s="69"/>
      <c r="G109" s="69"/>
      <c r="H109" s="69"/>
    </row>
    <row r="110" spans="1:8" ht="14.25">
      <c r="A110" s="69"/>
      <c r="B110" s="69"/>
      <c r="C110" s="70"/>
      <c r="E110" s="69"/>
      <c r="F110" s="69"/>
      <c r="G110" s="69"/>
      <c r="H110" s="69"/>
    </row>
    <row r="111" spans="1:8" ht="14.25">
      <c r="A111" s="69"/>
      <c r="B111" s="69"/>
      <c r="C111" s="70"/>
      <c r="E111" s="69"/>
      <c r="F111" s="69"/>
      <c r="G111" s="69"/>
      <c r="H111" s="69"/>
    </row>
    <row r="112" spans="1:8" ht="14.25">
      <c r="A112" s="69"/>
      <c r="B112" s="69"/>
      <c r="C112" s="70"/>
      <c r="E112" s="69"/>
      <c r="F112" s="69"/>
      <c r="G112" s="69"/>
      <c r="H112" s="69"/>
    </row>
    <row r="113" spans="1:9" ht="14.25">
      <c r="A113" s="4623" t="s">
        <v>299</v>
      </c>
      <c r="B113" s="4623"/>
      <c r="C113" s="4623"/>
      <c r="D113" s="4623"/>
      <c r="E113" s="4623"/>
      <c r="F113" s="4623"/>
      <c r="G113" s="4623"/>
      <c r="H113" s="4623"/>
      <c r="I113" s="4623"/>
    </row>
    <row r="114" spans="1:9" ht="14.25">
      <c r="A114" s="3650"/>
      <c r="B114" s="3648"/>
      <c r="C114" s="3648"/>
      <c r="D114" s="3648"/>
      <c r="E114" s="3648"/>
      <c r="F114" s="3648"/>
      <c r="G114" s="3648"/>
      <c r="H114" s="3648"/>
    </row>
    <row r="115" spans="1:9" ht="15">
      <c r="A115" s="4646" t="s">
        <v>115</v>
      </c>
      <c r="B115" s="4646"/>
      <c r="C115" s="4646"/>
      <c r="D115" s="4646"/>
      <c r="E115" s="4646"/>
      <c r="F115" s="4646"/>
      <c r="G115" s="4646"/>
      <c r="H115" s="4646"/>
      <c r="I115" s="4646"/>
    </row>
    <row r="116" spans="1:9" ht="15">
      <c r="A116" s="4646" t="s">
        <v>304</v>
      </c>
      <c r="B116" s="4646"/>
      <c r="C116" s="4646"/>
      <c r="D116" s="4646"/>
      <c r="E116" s="4646"/>
      <c r="F116" s="4646"/>
      <c r="G116" s="4646"/>
      <c r="H116" s="4646"/>
      <c r="I116" s="4646"/>
    </row>
    <row r="117" spans="1:9" ht="15">
      <c r="A117" s="4646" t="s">
        <v>305</v>
      </c>
      <c r="B117" s="4646"/>
      <c r="C117" s="4646"/>
      <c r="D117" s="4646"/>
      <c r="E117" s="4646"/>
      <c r="F117" s="4646"/>
      <c r="G117" s="4646"/>
      <c r="H117" s="4646"/>
      <c r="I117" s="4646"/>
    </row>
    <row r="118" spans="1:9" ht="14.25">
      <c r="A118" s="3650"/>
      <c r="B118" s="3648"/>
      <c r="C118" s="3648"/>
      <c r="D118" s="3648"/>
      <c r="E118" s="3648"/>
      <c r="F118" s="3648"/>
      <c r="G118" s="3648"/>
      <c r="H118" s="3648"/>
    </row>
    <row r="119" spans="1:9" ht="14.25">
      <c r="A119" s="69" t="s">
        <v>988</v>
      </c>
      <c r="B119" s="69"/>
      <c r="C119" s="69"/>
      <c r="D119" s="69"/>
      <c r="E119" s="69"/>
      <c r="F119" s="69"/>
      <c r="G119" s="69"/>
      <c r="H119" s="69"/>
    </row>
    <row r="120" spans="1:9" ht="14.25">
      <c r="A120" s="69" t="s">
        <v>989</v>
      </c>
      <c r="B120" s="69"/>
      <c r="C120" s="69"/>
      <c r="D120" s="69"/>
      <c r="E120" s="69"/>
      <c r="F120" s="69"/>
      <c r="G120" s="69"/>
      <c r="H120" s="69"/>
    </row>
    <row r="121" spans="1:9" ht="15" thickBot="1">
      <c r="A121" s="69"/>
      <c r="B121" s="69"/>
      <c r="C121" s="69"/>
      <c r="D121" s="69"/>
      <c r="E121" s="69"/>
      <c r="F121" s="69"/>
      <c r="G121" s="69"/>
      <c r="H121" s="69"/>
    </row>
    <row r="122" spans="1:9" ht="14.25">
      <c r="A122" s="69"/>
      <c r="B122" s="69"/>
      <c r="C122" s="4664" t="s">
        <v>810</v>
      </c>
      <c r="D122" s="4655" t="s">
        <v>939</v>
      </c>
      <c r="E122" s="4656"/>
      <c r="F122" s="4657"/>
      <c r="G122" s="4664" t="s">
        <v>306</v>
      </c>
      <c r="H122" s="69"/>
    </row>
    <row r="123" spans="1:9" ht="14.25">
      <c r="A123" s="69"/>
      <c r="B123" s="69"/>
      <c r="C123" s="4665"/>
      <c r="D123" s="4658"/>
      <c r="E123" s="4659"/>
      <c r="F123" s="4660"/>
      <c r="G123" s="4665"/>
      <c r="H123" s="69"/>
    </row>
    <row r="124" spans="1:9" ht="15" thickBot="1">
      <c r="A124" s="69"/>
      <c r="B124" s="69"/>
      <c r="C124" s="4666"/>
      <c r="D124" s="4661"/>
      <c r="E124" s="4662"/>
      <c r="F124" s="4663"/>
      <c r="G124" s="4666"/>
      <c r="H124" s="69"/>
    </row>
    <row r="125" spans="1:9" ht="15">
      <c r="A125" s="69"/>
      <c r="B125" s="69"/>
      <c r="C125" s="72">
        <v>1</v>
      </c>
      <c r="D125" s="4667" t="e">
        <f>Protokoll!B14</f>
        <v>#VALUE!</v>
      </c>
      <c r="E125" s="4668"/>
      <c r="F125" s="4669"/>
      <c r="G125" s="13" t="e">
        <f>Protokoll!B16</f>
        <v>#VALUE!</v>
      </c>
      <c r="H125" s="69"/>
    </row>
    <row r="126" spans="1:9" ht="15">
      <c r="A126" s="69"/>
      <c r="B126" s="69"/>
      <c r="C126" s="73">
        <v>2</v>
      </c>
      <c r="D126" s="4667" t="e">
        <f>Protokoll!C14</f>
        <v>#VALUE!</v>
      </c>
      <c r="E126" s="4668"/>
      <c r="F126" s="4669"/>
      <c r="G126" s="13" t="e">
        <f>Protokoll!C16</f>
        <v>#VALUE!</v>
      </c>
      <c r="H126" s="69"/>
    </row>
    <row r="127" spans="1:9" ht="15">
      <c r="A127" s="69"/>
      <c r="B127" s="69"/>
      <c r="C127" s="73">
        <v>3</v>
      </c>
      <c r="D127" s="4667" t="e">
        <f>Protokoll!D14</f>
        <v>#VALUE!</v>
      </c>
      <c r="E127" s="4668"/>
      <c r="F127" s="4669"/>
      <c r="G127" s="13" t="e">
        <f>Protokoll!D16</f>
        <v>#VALUE!</v>
      </c>
      <c r="H127" s="69"/>
    </row>
    <row r="128" spans="1:9" ht="15">
      <c r="A128" s="69"/>
      <c r="B128" s="69"/>
      <c r="C128" s="84">
        <v>4</v>
      </c>
      <c r="D128" s="4670" t="e">
        <f>Protokoll!E14</f>
        <v>#VALUE!</v>
      </c>
      <c r="E128" s="4671"/>
      <c r="F128" s="4672"/>
      <c r="G128" s="26" t="e">
        <f>Protokoll!E16</f>
        <v>#VALUE!</v>
      </c>
      <c r="H128" s="69"/>
    </row>
    <row r="129" spans="1:8" ht="15.75" thickBot="1">
      <c r="A129" s="69"/>
      <c r="B129" s="69"/>
      <c r="C129" s="74">
        <v>5</v>
      </c>
      <c r="D129" s="4673" t="e">
        <f>Protokoll!F14</f>
        <v>#VALUE!</v>
      </c>
      <c r="E129" s="4674"/>
      <c r="F129" s="4675"/>
      <c r="G129" s="25" t="e">
        <f>Protokoll!F16</f>
        <v>#VALUE!</v>
      </c>
      <c r="H129" s="69"/>
    </row>
    <row r="130" spans="1:8" ht="15.75" thickBot="1">
      <c r="A130" s="69"/>
      <c r="B130" s="69"/>
      <c r="C130" s="75" t="s">
        <v>32</v>
      </c>
      <c r="D130" s="4676" t="e">
        <f>SUM(D125:F129)</f>
        <v>#VALUE!</v>
      </c>
      <c r="E130" s="4677"/>
      <c r="F130" s="4677"/>
      <c r="G130" s="27" t="e">
        <f>SUM(G125:G129)</f>
        <v>#VALUE!</v>
      </c>
      <c r="H130" s="69"/>
    </row>
    <row r="131" spans="1:8" ht="14.25">
      <c r="A131" s="69"/>
      <c r="B131" s="69"/>
      <c r="C131" s="69"/>
      <c r="D131" s="69"/>
      <c r="E131" s="69"/>
      <c r="F131" s="69"/>
      <c r="G131" s="69"/>
      <c r="H131" s="69"/>
    </row>
    <row r="132" spans="1:8" ht="14.25">
      <c r="A132" s="69" t="s">
        <v>307</v>
      </c>
      <c r="B132" s="69"/>
      <c r="C132" s="69"/>
      <c r="D132" s="69"/>
      <c r="E132" s="69"/>
      <c r="F132" s="69"/>
      <c r="G132" s="69"/>
      <c r="H132" s="69"/>
    </row>
    <row r="133" spans="1:8" ht="14.25">
      <c r="A133" s="69" t="s">
        <v>308</v>
      </c>
      <c r="B133" s="69"/>
      <c r="C133" s="69"/>
      <c r="D133" s="69" t="s">
        <v>734</v>
      </c>
      <c r="E133" s="69"/>
      <c r="F133" s="69"/>
      <c r="G133" s="69"/>
      <c r="H133" s="69"/>
    </row>
    <row r="134" spans="1:8" ht="14.25">
      <c r="A134" s="69"/>
      <c r="B134" s="69"/>
      <c r="C134" s="69"/>
      <c r="D134" s="69"/>
      <c r="E134" s="69"/>
      <c r="F134" s="69"/>
      <c r="G134" s="69"/>
      <c r="H134" s="69"/>
    </row>
    <row r="135" spans="1:8" ht="15">
      <c r="A135" s="4641" t="s">
        <v>117</v>
      </c>
      <c r="B135" s="4641"/>
      <c r="C135" s="4641"/>
      <c r="D135" s="4641"/>
      <c r="E135" s="4641"/>
      <c r="F135" s="4641"/>
      <c r="G135" s="4641"/>
      <c r="H135" s="4641"/>
    </row>
    <row r="136" spans="1:8" ht="15">
      <c r="A136" s="4641" t="s">
        <v>309</v>
      </c>
      <c r="B136" s="4641"/>
      <c r="C136" s="4641"/>
      <c r="D136" s="4641"/>
      <c r="E136" s="4641"/>
      <c r="F136" s="4641"/>
      <c r="G136" s="4641"/>
      <c r="H136" s="4641"/>
    </row>
    <row r="137" spans="1:8" ht="14.25">
      <c r="A137" s="69"/>
      <c r="B137" s="69"/>
      <c r="C137" s="69"/>
      <c r="D137" s="69"/>
      <c r="E137" s="69"/>
      <c r="F137" s="69"/>
      <c r="G137" s="69"/>
      <c r="H137" s="69"/>
    </row>
    <row r="138" spans="1:8" ht="14.25">
      <c r="A138" s="76" t="s">
        <v>79</v>
      </c>
      <c r="B138" s="69" t="str">
        <f>"Von den "&amp;'Copy &amp; Paste'!$H$11&amp;" Pflegeplätzen werden vorgehalten:"</f>
        <v>Von den  Pflegeplätzen werden vorgehalten:</v>
      </c>
      <c r="C138" s="3648"/>
      <c r="D138" s="3648"/>
      <c r="E138" s="3648"/>
      <c r="F138" s="3648"/>
      <c r="G138" s="3648"/>
      <c r="H138" s="3648"/>
    </row>
    <row r="139" spans="1:8" ht="15">
      <c r="A139" s="3649"/>
      <c r="B139" s="3649"/>
      <c r="C139" s="3649"/>
      <c r="D139" s="3649"/>
      <c r="E139" s="3649"/>
      <c r="F139" s="3649"/>
      <c r="G139" s="3649"/>
      <c r="H139" s="3649"/>
    </row>
    <row r="140" spans="1:8" ht="15">
      <c r="A140" s="3649"/>
      <c r="B140" s="69"/>
      <c r="C140" s="69" t="str">
        <f>IF('Copy &amp; Paste'!$D$128&lt;&gt;0,'Copy &amp; Paste'!D128,"")&amp;IF('Copy &amp; Paste'!$D$128&lt;&gt;0," in Einbettzimmern","")</f>
        <v/>
      </c>
      <c r="D140" s="3649"/>
      <c r="E140" s="3649"/>
      <c r="F140" s="3649"/>
      <c r="G140" s="3649"/>
      <c r="H140" s="3649"/>
    </row>
    <row r="141" spans="1:8" ht="15">
      <c r="A141" s="3649"/>
      <c r="B141" s="69"/>
      <c r="C141" s="69" t="str">
        <f>IF('Copy &amp; Paste'!$D$129&lt;&gt;0,'Copy &amp; Paste'!D129,"")&amp;IF('Copy &amp; Paste'!$D$129&lt;&gt;0," in Zweibettzimmern","")</f>
        <v/>
      </c>
      <c r="D141" s="3649"/>
      <c r="E141" s="3649"/>
      <c r="F141" s="3649"/>
      <c r="G141" s="3649"/>
      <c r="H141" s="3649"/>
    </row>
    <row r="142" spans="1:8" ht="14.25">
      <c r="A142" s="69"/>
      <c r="B142" s="69"/>
      <c r="C142" s="69"/>
      <c r="D142" s="69"/>
      <c r="E142" s="69"/>
      <c r="F142" s="69"/>
      <c r="G142" s="69"/>
      <c r="H142" s="69"/>
    </row>
    <row r="143" spans="1:8" ht="14.25">
      <c r="A143" s="76" t="s">
        <v>112</v>
      </c>
      <c r="B143" s="69" t="s">
        <v>1007</v>
      </c>
      <c r="C143" s="69"/>
      <c r="D143" s="69"/>
      <c r="E143" s="69"/>
      <c r="F143" s="69"/>
      <c r="G143" s="69"/>
      <c r="H143" s="69"/>
    </row>
    <row r="144" spans="1:8" ht="14.25">
      <c r="A144" s="69"/>
      <c r="B144" s="69"/>
      <c r="C144" s="69"/>
      <c r="D144" s="69"/>
      <c r="E144" s="69"/>
      <c r="F144" s="69"/>
      <c r="G144" s="69"/>
      <c r="H144" s="69"/>
    </row>
    <row r="145" spans="1:8" ht="14.25">
      <c r="A145" s="69"/>
      <c r="B145" s="69" t="s">
        <v>734</v>
      </c>
      <c r="C145" s="69"/>
      <c r="D145" s="69"/>
      <c r="E145" s="69"/>
      <c r="F145" s="69"/>
      <c r="G145" s="69"/>
      <c r="H145" s="69"/>
    </row>
    <row r="146" spans="1:8" ht="14.25">
      <c r="A146" s="69"/>
      <c r="B146" s="69"/>
      <c r="C146" s="69"/>
      <c r="D146" s="69"/>
      <c r="E146" s="69"/>
      <c r="F146" s="69"/>
      <c r="G146" s="69"/>
      <c r="H146" s="69"/>
    </row>
    <row r="147" spans="1:8" ht="14.25">
      <c r="A147" s="76" t="s">
        <v>113</v>
      </c>
      <c r="B147" s="69" t="s">
        <v>320</v>
      </c>
      <c r="C147" s="69"/>
      <c r="D147" s="69"/>
      <c r="E147" s="69"/>
      <c r="F147" s="69"/>
      <c r="G147" s="69"/>
      <c r="H147" s="69"/>
    </row>
    <row r="148" spans="1:8" ht="14.25">
      <c r="A148" s="3650"/>
      <c r="B148" s="3648"/>
      <c r="C148" s="3648"/>
      <c r="D148" s="3648"/>
      <c r="E148" s="3648"/>
      <c r="F148" s="3648"/>
      <c r="G148" s="3648"/>
      <c r="H148" s="3648"/>
    </row>
    <row r="149" spans="1:8" ht="15">
      <c r="A149" s="4641" t="s">
        <v>990</v>
      </c>
      <c r="B149" s="4641"/>
      <c r="C149" s="4641"/>
      <c r="D149" s="4641"/>
      <c r="E149" s="4641"/>
      <c r="F149" s="4641"/>
      <c r="G149" s="4641"/>
      <c r="H149" s="4641"/>
    </row>
    <row r="150" spans="1:8" ht="15">
      <c r="A150" s="4641" t="s">
        <v>310</v>
      </c>
      <c r="B150" s="4641"/>
      <c r="C150" s="4641"/>
      <c r="D150" s="4641"/>
      <c r="E150" s="4641"/>
      <c r="F150" s="4641"/>
      <c r="G150" s="4641"/>
      <c r="H150" s="4641"/>
    </row>
    <row r="151" spans="1:8" ht="14.25">
      <c r="A151" s="69"/>
      <c r="B151" s="69"/>
      <c r="C151" s="69"/>
      <c r="D151" s="69"/>
      <c r="E151" s="69"/>
      <c r="F151" s="69"/>
      <c r="G151" s="69"/>
      <c r="H151" s="69"/>
    </row>
    <row r="152" spans="1:8" ht="14.25">
      <c r="A152" s="76" t="s">
        <v>79</v>
      </c>
      <c r="B152" s="69" t="s">
        <v>2106</v>
      </c>
      <c r="C152" s="69"/>
      <c r="D152" s="69"/>
      <c r="E152" s="69"/>
      <c r="F152" s="69"/>
      <c r="G152" s="69"/>
      <c r="H152" s="69"/>
    </row>
    <row r="153" spans="1:8" ht="14.25">
      <c r="A153" s="69"/>
      <c r="B153" s="69" t="e">
        <f>"Ausstattung mit Pflege- und Betreuungspersonal von "&amp;IF('Copy &amp; Paste'!B14="nein",FIXED(Ergebnis!E25+Ergebnis!E26+Ergebnis!E27+Ergebnis!B45,2),FIXED(Pauschal!H31+Pauschal!H32+Pauschal!H33,2))&amp;" Vollzeitkräften im Jahresdurchschnitt"</f>
        <v>#DIV/0!</v>
      </c>
      <c r="C153" s="69"/>
      <c r="D153" s="69"/>
      <c r="E153" s="69"/>
      <c r="F153" s="69"/>
      <c r="G153" s="69"/>
      <c r="H153" s="69"/>
    </row>
    <row r="154" spans="1:8" ht="14.25">
      <c r="A154" s="69"/>
      <c r="B154" s="69" t="s">
        <v>2141</v>
      </c>
      <c r="C154" s="69"/>
      <c r="D154" s="69"/>
      <c r="E154" s="69"/>
      <c r="F154" s="69"/>
      <c r="G154" s="69"/>
      <c r="H154" s="69"/>
    </row>
    <row r="155" spans="1:8" ht="14.25">
      <c r="A155" s="69"/>
      <c r="B155" s="69" t="s">
        <v>2107</v>
      </c>
      <c r="C155" s="69"/>
      <c r="D155" s="69"/>
      <c r="E155" s="69"/>
      <c r="F155" s="69"/>
      <c r="G155" s="69"/>
      <c r="H155" s="69"/>
    </row>
    <row r="156" spans="1:8" s="107" customFormat="1" ht="12.75"/>
    <row r="157" spans="1:8" ht="15">
      <c r="A157" s="69"/>
      <c r="B157" s="69"/>
      <c r="C157" s="100" t="e">
        <f>IF('Copy &amp; Paste'!B14="nein",FIXED(Ergebnis!E25-SUM(Ergebnis!J26,Ergebnis!J28)+Protokoll!C98)&amp;" VK",FIXED(Pauschal!H31,2)&amp;" VK")</f>
        <v>#DIV/0!</v>
      </c>
      <c r="D157" s="98" t="s">
        <v>2108</v>
      </c>
      <c r="E157" s="69"/>
      <c r="F157" s="69"/>
      <c r="G157" s="69"/>
      <c r="H157" s="69"/>
    </row>
    <row r="158" spans="1:8" ht="14.25">
      <c r="A158" s="69"/>
      <c r="B158" s="69"/>
      <c r="C158" s="99"/>
      <c r="D158" s="69" t="s">
        <v>2109</v>
      </c>
      <c r="E158" s="69"/>
      <c r="F158" s="69"/>
      <c r="G158" s="69"/>
      <c r="H158" s="69"/>
    </row>
    <row r="159" spans="1:8" ht="14.25">
      <c r="A159" s="69"/>
      <c r="B159" s="69"/>
      <c r="C159" s="99"/>
      <c r="D159" s="69" t="s">
        <v>2110</v>
      </c>
      <c r="E159" s="69"/>
      <c r="F159" s="69"/>
      <c r="G159" s="69"/>
      <c r="H159" s="69"/>
    </row>
    <row r="160" spans="1:8" ht="14.25">
      <c r="A160" s="69"/>
      <c r="B160" s="69"/>
      <c r="C160" s="69"/>
      <c r="D160" s="69"/>
      <c r="E160" s="69"/>
      <c r="F160" s="69"/>
      <c r="G160" s="69"/>
      <c r="H160" s="69"/>
    </row>
    <row r="161" spans="1:8" ht="15">
      <c r="A161" s="69"/>
      <c r="B161" s="69"/>
      <c r="C161" s="100" t="str">
        <f>IF('Copy &amp; Paste'!B14="nein",FIXED(Ergebnis!E26,2)&amp;" VK",FIXED(Pauschal!H32,2)&amp;" VK")</f>
        <v>0,00 VK</v>
      </c>
      <c r="D161" s="98" t="s">
        <v>2111</v>
      </c>
      <c r="E161" s="69"/>
      <c r="F161" s="69"/>
      <c r="G161" s="69"/>
      <c r="H161" s="69"/>
    </row>
    <row r="162" spans="1:8" ht="15">
      <c r="A162" s="69"/>
      <c r="B162" s="69"/>
      <c r="C162" s="100"/>
      <c r="D162" s="98" t="s">
        <v>2112</v>
      </c>
      <c r="E162" s="69"/>
      <c r="F162" s="69"/>
      <c r="G162" s="69"/>
      <c r="H162" s="69"/>
    </row>
    <row r="163" spans="1:8" ht="15">
      <c r="A163" s="69"/>
      <c r="B163" s="69"/>
      <c r="C163" s="100"/>
      <c r="D163" s="69" t="s">
        <v>2113</v>
      </c>
      <c r="E163" s="69"/>
      <c r="F163" s="69"/>
      <c r="G163" s="69"/>
      <c r="H163" s="69"/>
    </row>
    <row r="164" spans="1:8" ht="14.25">
      <c r="A164" s="69"/>
      <c r="B164" s="69"/>
      <c r="C164" s="69"/>
      <c r="D164" s="69"/>
      <c r="E164" s="69"/>
      <c r="F164" s="69"/>
      <c r="G164" s="69"/>
      <c r="H164" s="69"/>
    </row>
    <row r="165" spans="1:8" ht="15">
      <c r="A165" s="69"/>
      <c r="B165" s="69"/>
      <c r="C165" s="100" t="str">
        <f>IF('Copy &amp; Paste'!B14="nein",FIXED(Ergebnis!E27,2)&amp;" VK",FIXED(Pauschal!H33,2)&amp;" VK")</f>
        <v>0,00 VK</v>
      </c>
      <c r="D165" s="98" t="s">
        <v>2114</v>
      </c>
      <c r="E165" s="69"/>
      <c r="F165" s="69"/>
      <c r="G165" s="69"/>
      <c r="H165" s="69"/>
    </row>
    <row r="166" spans="1:8" ht="14.25">
      <c r="A166" s="69"/>
      <c r="B166" s="69"/>
      <c r="C166" s="69"/>
      <c r="D166" s="69" t="s">
        <v>2115</v>
      </c>
      <c r="E166" s="69"/>
      <c r="F166" s="69"/>
      <c r="G166" s="69"/>
      <c r="H166" s="69"/>
    </row>
    <row r="167" spans="1:8" ht="14.25">
      <c r="A167" s="69"/>
      <c r="B167" s="69"/>
      <c r="C167" s="69"/>
      <c r="D167" s="69"/>
      <c r="E167" s="69"/>
      <c r="F167" s="69"/>
      <c r="G167" s="69"/>
      <c r="H167" s="69"/>
    </row>
    <row r="168" spans="1:8" ht="14.25">
      <c r="A168" s="69"/>
      <c r="B168" s="69" t="str">
        <f>IF('Überleitung 113c'!G115&gt;0,"Zusätzlich zu diesen drei Qualifikationsgruppen werden folgende Stellenanteile für die","")</f>
        <v/>
      </c>
      <c r="C168" s="69"/>
      <c r="D168" s="69"/>
      <c r="E168" s="69"/>
      <c r="F168" s="69"/>
      <c r="G168" s="69"/>
      <c r="H168" s="69"/>
    </row>
    <row r="169" spans="1:8" ht="14.25">
      <c r="A169" s="69"/>
      <c r="B169" s="69" t="str">
        <f>IF('Überleitung 113c'!G115&gt;0,"nachstehenden, pflegegradunabhängigen Sonderfunktionen vereinbart:","")</f>
        <v/>
      </c>
      <c r="C169" s="69"/>
      <c r="D169" s="69"/>
      <c r="E169" s="69"/>
      <c r="F169" s="69"/>
      <c r="G169" s="69"/>
      <c r="H169" s="69"/>
    </row>
    <row r="170" spans="1:8" ht="14.25">
      <c r="A170" s="69"/>
      <c r="B170" s="69"/>
      <c r="C170" s="69"/>
      <c r="D170" s="69"/>
      <c r="E170" s="69"/>
      <c r="F170" s="69"/>
      <c r="G170" s="69"/>
      <c r="H170" s="69"/>
    </row>
    <row r="171" spans="1:8" ht="15">
      <c r="A171" s="69"/>
      <c r="B171" s="69"/>
      <c r="C171" s="3467" t="str">
        <f>IF('Überleitung 113c'!G115&gt;0,Ergebnis!J26,"")</f>
        <v/>
      </c>
      <c r="D171" s="98" t="str">
        <f>IF('Überleitung 113c'!G115&gt;0,"Pflegedienstleitung","")</f>
        <v/>
      </c>
      <c r="E171" s="69"/>
      <c r="F171" s="69"/>
      <c r="G171" s="69"/>
      <c r="H171" s="69"/>
    </row>
    <row r="172" spans="1:8" ht="15">
      <c r="A172" s="69"/>
      <c r="B172" s="69"/>
      <c r="C172" s="100"/>
      <c r="D172" s="98"/>
      <c r="E172" s="69"/>
      <c r="F172" s="69"/>
      <c r="G172" s="69"/>
      <c r="H172" s="69"/>
    </row>
    <row r="173" spans="1:8" ht="15">
      <c r="A173" s="69"/>
      <c r="B173" s="69"/>
      <c r="C173" s="3467" t="str">
        <f>IF('Überleitung 113c'!G115&gt;0,Ergebnis!J28,"")</f>
        <v/>
      </c>
      <c r="D173" s="98" t="str">
        <f>IF('Überleitung 113c'!G115&gt;0,"Qualitätsbeauftragte/r","")</f>
        <v/>
      </c>
      <c r="E173" s="69"/>
      <c r="F173" s="69"/>
      <c r="G173" s="69"/>
      <c r="H173" s="69"/>
    </row>
    <row r="174" spans="1:8" ht="14.25">
      <c r="A174" s="69"/>
      <c r="B174" s="69"/>
      <c r="C174" s="69"/>
      <c r="D174" s="69"/>
      <c r="E174" s="69"/>
      <c r="F174" s="69"/>
      <c r="G174" s="69"/>
      <c r="H174" s="69"/>
    </row>
    <row r="175" spans="1:8" ht="14.25">
      <c r="A175" s="69"/>
      <c r="B175" s="69" t="s">
        <v>2116</v>
      </c>
      <c r="C175" s="69"/>
      <c r="D175" s="69"/>
      <c r="E175" s="69"/>
      <c r="F175" s="69"/>
      <c r="G175" s="69"/>
      <c r="H175" s="69"/>
    </row>
    <row r="176" spans="1:8" ht="14.25">
      <c r="A176" s="69"/>
      <c r="B176" s="69" t="s">
        <v>2117</v>
      </c>
      <c r="C176" s="69"/>
      <c r="D176" s="69"/>
      <c r="E176" s="69"/>
      <c r="F176" s="69"/>
      <c r="G176" s="69"/>
      <c r="H176" s="69"/>
    </row>
    <row r="177" spans="1:9" ht="14.25">
      <c r="A177" s="69"/>
      <c r="B177" s="69" t="s">
        <v>2118</v>
      </c>
      <c r="C177" s="69"/>
      <c r="D177" s="69"/>
      <c r="E177" s="69"/>
      <c r="F177" s="69"/>
      <c r="G177" s="69"/>
      <c r="H177" s="69"/>
    </row>
    <row r="178" spans="1:9" ht="14.25">
      <c r="A178" s="69"/>
      <c r="B178" s="69" t="s">
        <v>2119</v>
      </c>
      <c r="C178" s="69"/>
      <c r="D178" s="69"/>
      <c r="E178" s="69"/>
      <c r="F178" s="69"/>
      <c r="G178" s="69"/>
      <c r="H178" s="69"/>
    </row>
    <row r="179" spans="1:9" ht="14.25">
      <c r="A179" s="69"/>
      <c r="B179" s="69"/>
      <c r="C179" s="69"/>
      <c r="D179" s="69"/>
      <c r="E179" s="69"/>
      <c r="F179" s="69"/>
      <c r="G179" s="69"/>
      <c r="H179" s="69"/>
    </row>
    <row r="180" spans="1:9" ht="14.25">
      <c r="A180" s="4645" t="s">
        <v>993</v>
      </c>
      <c r="B180" s="4645"/>
      <c r="C180" s="4645"/>
      <c r="D180" s="4645"/>
      <c r="E180" s="4645"/>
      <c r="F180" s="4645"/>
      <c r="G180" s="4645"/>
      <c r="H180" s="4645"/>
      <c r="I180" s="4645"/>
    </row>
    <row r="181" spans="1:9" ht="14.25">
      <c r="A181" s="69"/>
      <c r="B181" s="69"/>
      <c r="C181" s="69"/>
      <c r="D181" s="69"/>
      <c r="E181" s="69"/>
      <c r="F181" s="69"/>
      <c r="G181" s="69"/>
      <c r="H181" s="69"/>
    </row>
    <row r="182" spans="1:9" ht="14.25">
      <c r="A182" s="69"/>
      <c r="B182" s="69" t="s">
        <v>2120</v>
      </c>
      <c r="C182" s="69"/>
      <c r="D182" s="69"/>
      <c r="E182" s="69"/>
      <c r="F182" s="69"/>
      <c r="G182" s="69"/>
      <c r="H182" s="69"/>
    </row>
    <row r="183" spans="1:9" ht="14.25">
      <c r="A183" s="69"/>
      <c r="B183" s="69" t="s">
        <v>2121</v>
      </c>
      <c r="C183" s="69"/>
      <c r="D183" s="69"/>
      <c r="E183" s="69"/>
      <c r="F183" s="69"/>
      <c r="G183" s="69"/>
      <c r="H183" s="69"/>
    </row>
    <row r="184" spans="1:9" ht="14.25">
      <c r="A184" s="69"/>
      <c r="B184" s="69"/>
      <c r="C184" s="69"/>
      <c r="D184" s="69"/>
      <c r="E184" s="69"/>
      <c r="F184" s="69"/>
      <c r="G184" s="69"/>
      <c r="H184" s="69"/>
    </row>
    <row r="185" spans="1:9" ht="59.25" customHeight="1">
      <c r="A185" s="69"/>
      <c r="B185" s="4654" t="s">
        <v>1214</v>
      </c>
      <c r="C185" s="4654"/>
      <c r="D185" s="4653" t="s">
        <v>2122</v>
      </c>
      <c r="E185" s="4654"/>
      <c r="F185" s="4653" t="s">
        <v>2123</v>
      </c>
      <c r="G185" s="4654"/>
      <c r="H185" s="3651" t="s">
        <v>2108</v>
      </c>
    </row>
    <row r="186" spans="1:9" ht="14.25">
      <c r="A186" s="69"/>
      <c r="B186" s="4649" t="s">
        <v>1</v>
      </c>
      <c r="C186" s="4649"/>
      <c r="D186" s="4649" t="e">
        <f>'Überleitung 113c'!B99</f>
        <v>#DIV/0!</v>
      </c>
      <c r="E186" s="4649"/>
      <c r="F186" s="4649" t="e">
        <f>'Überleitung 113c'!B100</f>
        <v>#DIV/0!</v>
      </c>
      <c r="G186" s="4649"/>
      <c r="H186" s="3652" t="e">
        <f>'Überleitung 113c'!B101</f>
        <v>#DIV/0!</v>
      </c>
    </row>
    <row r="187" spans="1:9" ht="14.25">
      <c r="A187" s="69"/>
      <c r="B187" s="4649" t="s">
        <v>2</v>
      </c>
      <c r="C187" s="4649"/>
      <c r="D187" s="4649" t="e">
        <f>'Überleitung 113c'!C99</f>
        <v>#DIV/0!</v>
      </c>
      <c r="E187" s="4649"/>
      <c r="F187" s="4649" t="e">
        <f>'Überleitung 113c'!C100</f>
        <v>#DIV/0!</v>
      </c>
      <c r="G187" s="4649"/>
      <c r="H187" s="3652" t="e">
        <f>'Überleitung 113c'!C101</f>
        <v>#DIV/0!</v>
      </c>
    </row>
    <row r="188" spans="1:9" ht="14.25">
      <c r="A188" s="69"/>
      <c r="B188" s="4649" t="s">
        <v>3</v>
      </c>
      <c r="C188" s="4649"/>
      <c r="D188" s="4649" t="e">
        <f>'Überleitung 113c'!D99</f>
        <v>#DIV/0!</v>
      </c>
      <c r="E188" s="4649"/>
      <c r="F188" s="4649" t="e">
        <f>'Überleitung 113c'!D100</f>
        <v>#DIV/0!</v>
      </c>
      <c r="G188" s="4649"/>
      <c r="H188" s="3652" t="e">
        <f>'Überleitung 113c'!D101</f>
        <v>#DIV/0!</v>
      </c>
    </row>
    <row r="189" spans="1:9" ht="14.25">
      <c r="A189" s="69"/>
      <c r="B189" s="4649" t="s">
        <v>4</v>
      </c>
      <c r="C189" s="4649"/>
      <c r="D189" s="4649" t="e">
        <f>'Überleitung 113c'!E99</f>
        <v>#DIV/0!</v>
      </c>
      <c r="E189" s="4649"/>
      <c r="F189" s="4649" t="e">
        <f>'Überleitung 113c'!E100</f>
        <v>#DIV/0!</v>
      </c>
      <c r="G189" s="4649"/>
      <c r="H189" s="3408" t="e">
        <f>'Überleitung 113c'!E101</f>
        <v>#DIV/0!</v>
      </c>
    </row>
    <row r="190" spans="1:9" ht="14.25">
      <c r="A190" s="69"/>
      <c r="B190" s="4649" t="s">
        <v>5</v>
      </c>
      <c r="C190" s="4649"/>
      <c r="D190" s="4649" t="e">
        <f>'Überleitung 113c'!F99</f>
        <v>#DIV/0!</v>
      </c>
      <c r="E190" s="4649"/>
      <c r="F190" s="4649" t="e">
        <f>'Überleitung 113c'!F100</f>
        <v>#DIV/0!</v>
      </c>
      <c r="G190" s="4649"/>
      <c r="H190" s="3408" t="e">
        <f>'Überleitung 113c'!F101</f>
        <v>#DIV/0!</v>
      </c>
    </row>
    <row r="191" spans="1:9" ht="14.25">
      <c r="A191" s="69"/>
      <c r="B191" s="69"/>
      <c r="C191" s="69"/>
      <c r="D191" s="69"/>
      <c r="E191" s="69"/>
      <c r="F191" s="69"/>
      <c r="G191" s="69"/>
      <c r="H191" s="69"/>
    </row>
    <row r="192" spans="1:9" ht="14.25">
      <c r="A192" s="69"/>
      <c r="B192" s="69"/>
      <c r="C192" s="69"/>
      <c r="D192" s="69"/>
      <c r="E192" s="69"/>
      <c r="F192" s="69"/>
      <c r="G192" s="69"/>
      <c r="H192" s="69"/>
    </row>
    <row r="193" spans="1:9" ht="14.25">
      <c r="A193" s="76" t="s">
        <v>112</v>
      </c>
      <c r="B193" s="69" t="s">
        <v>311</v>
      </c>
      <c r="C193" s="69"/>
      <c r="D193" s="69"/>
      <c r="E193" s="69"/>
      <c r="F193" s="69"/>
      <c r="G193" s="69"/>
      <c r="H193" s="69"/>
    </row>
    <row r="194" spans="1:9" ht="14.25">
      <c r="A194" s="69"/>
      <c r="B194" s="69" t="str">
        <f>IF('Copy &amp; Paste'!B14="nein",FIXED(Protokoll!B99,2),FIXED(Pauschal!H34,2)&amp;" VK")&amp;" Kräfte (ABM, BFD, Praktikanten/innen, FSJ, Sonstige), sowie"</f>
        <v>0,00 Kräfte (ABM, BFD, Praktikanten/innen, FSJ, Sonstige), sowie</v>
      </c>
      <c r="C194" s="69"/>
      <c r="D194" s="69"/>
      <c r="E194" s="69"/>
      <c r="F194" s="69"/>
      <c r="G194" s="69"/>
      <c r="H194" s="69"/>
    </row>
    <row r="195" spans="1:9" ht="14.25">
      <c r="A195" s="69"/>
      <c r="B195" s="4651" t="str">
        <f>FIXED(Protokoll!B96,2)&amp;" VK"</f>
        <v>0,00 VK</v>
      </c>
      <c r="C195" s="4651"/>
      <c r="D195" s="69" t="s">
        <v>2124</v>
      </c>
      <c r="E195" s="69"/>
      <c r="F195" s="69"/>
      <c r="G195" s="69"/>
      <c r="H195" s="69"/>
    </row>
    <row r="196" spans="1:9" ht="14.25">
      <c r="A196" s="69"/>
      <c r="B196" s="69"/>
      <c r="C196" s="69"/>
      <c r="D196" s="69"/>
      <c r="E196" s="69"/>
      <c r="F196" s="69"/>
      <c r="G196" s="69"/>
      <c r="H196" s="69"/>
    </row>
    <row r="197" spans="1:9" ht="14.25">
      <c r="A197" s="76" t="s">
        <v>113</v>
      </c>
      <c r="B197" s="69" t="s">
        <v>2125</v>
      </c>
      <c r="C197" s="69"/>
      <c r="D197" s="69"/>
      <c r="E197" s="69"/>
      <c r="F197" s="69"/>
      <c r="G197" s="69"/>
      <c r="H197" s="69"/>
    </row>
    <row r="198" spans="1:9" ht="14.25">
      <c r="A198" s="69"/>
      <c r="B198" s="69" t="s">
        <v>2126</v>
      </c>
      <c r="C198" s="69"/>
      <c r="D198" s="69"/>
      <c r="E198" s="69"/>
      <c r="F198" s="69"/>
      <c r="G198" s="69"/>
      <c r="H198" s="69"/>
    </row>
    <row r="199" spans="1:9" ht="14.25">
      <c r="A199" s="69"/>
      <c r="B199" s="69" t="s">
        <v>2128</v>
      </c>
      <c r="C199" s="69"/>
      <c r="D199" s="69"/>
      <c r="E199" s="69"/>
      <c r="F199" s="69"/>
      <c r="G199" s="69"/>
      <c r="H199" s="69"/>
    </row>
    <row r="200" spans="1:9" ht="14.25">
      <c r="A200" s="69"/>
      <c r="B200" s="69" t="s">
        <v>2127</v>
      </c>
      <c r="C200" s="69"/>
      <c r="D200" s="69"/>
      <c r="E200" s="69"/>
      <c r="F200" s="69"/>
      <c r="G200" s="69"/>
      <c r="H200" s="69"/>
    </row>
    <row r="201" spans="1:9" ht="14.25">
      <c r="A201" s="3650"/>
      <c r="B201" s="3650"/>
      <c r="C201" s="3650"/>
      <c r="D201" s="3650"/>
      <c r="E201" s="3650"/>
      <c r="F201" s="3650"/>
      <c r="G201" s="3650"/>
      <c r="H201" s="3650"/>
    </row>
    <row r="202" spans="1:9" s="81" customFormat="1" ht="14.25">
      <c r="A202" s="3650"/>
      <c r="B202" s="3648"/>
      <c r="C202" s="3648"/>
      <c r="D202" s="3648"/>
      <c r="E202" s="3648"/>
      <c r="F202" s="3648"/>
      <c r="G202" s="3648"/>
      <c r="H202" s="3648"/>
    </row>
    <row r="203" spans="1:9" ht="15">
      <c r="A203" s="4641" t="s">
        <v>992</v>
      </c>
      <c r="B203" s="4641"/>
      <c r="C203" s="4641"/>
      <c r="D203" s="4641"/>
      <c r="E203" s="4641"/>
      <c r="F203" s="4641"/>
      <c r="G203" s="4641"/>
      <c r="H203" s="4641"/>
      <c r="I203" s="4641"/>
    </row>
    <row r="204" spans="1:9" s="81" customFormat="1" ht="15">
      <c r="A204" s="4641" t="s">
        <v>110</v>
      </c>
      <c r="B204" s="4641"/>
      <c r="C204" s="4641"/>
      <c r="D204" s="4641"/>
      <c r="E204" s="4641"/>
      <c r="F204" s="4641"/>
      <c r="G204" s="4641"/>
      <c r="H204" s="4641"/>
      <c r="I204" s="4641"/>
    </row>
    <row r="205" spans="1:9" s="81" customFormat="1" ht="15">
      <c r="A205" s="3649"/>
      <c r="B205" s="3649"/>
      <c r="C205" s="3649"/>
      <c r="D205" s="3649"/>
      <c r="E205" s="3649"/>
      <c r="F205" s="3649"/>
      <c r="G205" s="3649"/>
      <c r="H205" s="3649"/>
      <c r="I205" s="3649"/>
    </row>
    <row r="206" spans="1:9" s="81" customFormat="1" ht="15">
      <c r="A206" s="3649"/>
      <c r="B206" s="4641" t="s">
        <v>2269</v>
      </c>
      <c r="C206" s="4641"/>
      <c r="D206" s="4641"/>
      <c r="E206" s="4641"/>
      <c r="F206" s="4641"/>
      <c r="G206" s="4641"/>
      <c r="H206" s="4641"/>
      <c r="I206" s="3649"/>
    </row>
    <row r="207" spans="1:9" s="81" customFormat="1" ht="15">
      <c r="A207" s="3649"/>
      <c r="B207" s="4641" t="s">
        <v>2270</v>
      </c>
      <c r="C207" s="4641"/>
      <c r="D207" s="4641"/>
      <c r="E207" s="4641"/>
      <c r="F207" s="4641"/>
      <c r="G207" s="4641"/>
      <c r="H207" s="4641"/>
      <c r="I207" s="3649"/>
    </row>
    <row r="208" spans="1:9" ht="14.25">
      <c r="A208" s="54"/>
      <c r="B208" s="54"/>
      <c r="C208" s="3648"/>
      <c r="D208" s="3648"/>
      <c r="E208" s="3648"/>
      <c r="F208" s="3648"/>
      <c r="G208" s="3648"/>
      <c r="H208" s="3648"/>
    </row>
    <row r="209" spans="1:10" s="81" customFormat="1" ht="14.25">
      <c r="A209" s="77" t="s">
        <v>2271</v>
      </c>
      <c r="B209" s="54" t="s">
        <v>941</v>
      </c>
      <c r="C209" s="54"/>
      <c r="D209" s="54"/>
      <c r="E209" s="54"/>
      <c r="F209" s="54"/>
      <c r="G209" s="54"/>
      <c r="H209" s="54"/>
    </row>
    <row r="210" spans="1:10" ht="15">
      <c r="A210" s="54"/>
      <c r="B210" s="54" t="s">
        <v>2275</v>
      </c>
      <c r="C210" s="54"/>
      <c r="D210" s="54"/>
      <c r="E210" s="54"/>
      <c r="F210" s="54"/>
      <c r="G210" s="54"/>
      <c r="H210" s="54"/>
    </row>
    <row r="211" spans="1:10" ht="14.25">
      <c r="A211" s="54"/>
      <c r="B211" s="54"/>
      <c r="C211" s="54"/>
      <c r="D211" s="54"/>
      <c r="E211" s="54"/>
      <c r="F211" s="54"/>
      <c r="G211" s="54"/>
      <c r="H211" s="54"/>
    </row>
    <row r="212" spans="1:10" ht="27.75" customHeight="1">
      <c r="A212" s="54"/>
      <c r="B212" s="54"/>
      <c r="C212" s="65" t="s">
        <v>1214</v>
      </c>
      <c r="D212" s="449" t="s">
        <v>1215</v>
      </c>
      <c r="E212" s="4642" t="s">
        <v>1216</v>
      </c>
      <c r="F212" s="4642"/>
      <c r="G212" s="54"/>
      <c r="H212" s="450" t="s">
        <v>1016</v>
      </c>
    </row>
    <row r="213" spans="1:10" ht="8.1" customHeight="1">
      <c r="A213" s="54"/>
      <c r="B213" s="54"/>
      <c r="C213" s="54"/>
      <c r="D213" s="54"/>
      <c r="E213" s="54"/>
      <c r="F213" s="54"/>
      <c r="G213" s="54"/>
      <c r="H213" s="70"/>
    </row>
    <row r="214" spans="1:10" ht="15">
      <c r="A214" s="54"/>
      <c r="C214" s="54" t="s">
        <v>811</v>
      </c>
      <c r="D214" s="451">
        <v>404000</v>
      </c>
      <c r="E214" s="113" t="e">
        <f>FIXED(Protokoll!$B$25,2)</f>
        <v>#VALUE!</v>
      </c>
      <c r="F214" s="56" t="s">
        <v>929</v>
      </c>
      <c r="H214" s="125" t="e">
        <f>FIXED(E214*30.42,2)&amp;" €"</f>
        <v>#VALUE!</v>
      </c>
    </row>
    <row r="215" spans="1:10" ht="15">
      <c r="A215" s="54"/>
      <c r="C215" s="54" t="s">
        <v>812</v>
      </c>
      <c r="D215" s="451">
        <v>404000</v>
      </c>
      <c r="E215" s="113" t="e">
        <f>FIXED(Protokoll!$C$25,2)</f>
        <v>#VALUE!</v>
      </c>
      <c r="F215" s="56" t="s">
        <v>929</v>
      </c>
      <c r="H215" s="125" t="e">
        <f>FIXED(E215*30.42,2)&amp;" €"</f>
        <v>#VALUE!</v>
      </c>
    </row>
    <row r="216" spans="1:10" ht="15">
      <c r="A216" s="54"/>
      <c r="C216" s="54" t="s">
        <v>813</v>
      </c>
      <c r="D216" s="451">
        <v>404000</v>
      </c>
      <c r="E216" s="113" t="e">
        <f>FIXED(Protokoll!$D$25,2)</f>
        <v>#VALUE!</v>
      </c>
      <c r="F216" s="56" t="s">
        <v>929</v>
      </c>
      <c r="H216" s="125" t="e">
        <f>FIXED(E216*30.42,2)&amp;" €"</f>
        <v>#VALUE!</v>
      </c>
    </row>
    <row r="217" spans="1:10" ht="15">
      <c r="A217" s="54"/>
      <c r="C217" s="54" t="s">
        <v>814</v>
      </c>
      <c r="D217" s="451">
        <v>404000</v>
      </c>
      <c r="E217" s="114" t="e">
        <f>FIXED(Protokoll!$E$25,2)</f>
        <v>#VALUE!</v>
      </c>
      <c r="F217" s="56" t="s">
        <v>929</v>
      </c>
      <c r="H217" s="126" t="e">
        <f>FIXED(E217*30.42,2)&amp;" €"</f>
        <v>#VALUE!</v>
      </c>
    </row>
    <row r="218" spans="1:10" ht="15">
      <c r="A218" s="3650"/>
      <c r="B218" s="3648"/>
      <c r="C218" s="54" t="s">
        <v>815</v>
      </c>
      <c r="D218" s="451">
        <v>404000</v>
      </c>
      <c r="E218" s="114" t="e">
        <f>FIXED(Protokoll!$F$25,2)</f>
        <v>#VALUE!</v>
      </c>
      <c r="F218" s="56" t="s">
        <v>931</v>
      </c>
      <c r="H218" s="126" t="e">
        <f>FIXED(E218*30.42,2)&amp;" €."</f>
        <v>#VALUE!</v>
      </c>
    </row>
    <row r="219" spans="1:10" s="105" customFormat="1" ht="14.25">
      <c r="A219" s="108"/>
      <c r="B219" s="109"/>
      <c r="C219" s="102"/>
      <c r="D219" s="102"/>
      <c r="E219" s="103"/>
      <c r="F219" s="102"/>
      <c r="G219" s="104"/>
      <c r="H219" s="101"/>
    </row>
    <row r="220" spans="1:10" ht="14.25" customHeight="1">
      <c r="A220" s="54"/>
      <c r="B220" s="54" t="s">
        <v>1017</v>
      </c>
      <c r="C220" s="79"/>
      <c r="D220" s="79"/>
      <c r="E220" s="80"/>
      <c r="F220" s="79"/>
      <c r="G220" s="28"/>
      <c r="H220" s="86"/>
    </row>
    <row r="221" spans="1:10" ht="14.25" customHeight="1">
      <c r="A221" s="54"/>
      <c r="B221" s="54" t="s">
        <v>1018</v>
      </c>
      <c r="C221" s="79"/>
      <c r="D221" s="79"/>
      <c r="E221" s="80"/>
      <c r="F221" s="79"/>
      <c r="G221" s="28"/>
      <c r="H221" s="86"/>
    </row>
    <row r="222" spans="1:10" ht="14.25" customHeight="1">
      <c r="A222" s="54"/>
      <c r="B222" s="54"/>
      <c r="C222" s="79"/>
      <c r="D222" s="79"/>
      <c r="E222" s="80"/>
      <c r="F222" s="79"/>
      <c r="G222" s="28"/>
      <c r="H222" s="86"/>
    </row>
    <row r="223" spans="1:10" ht="14.25" customHeight="1">
      <c r="A223" s="4652" t="e">
        <f>FIXED(Protokoll!C36,2)&amp;" €"</f>
        <v>#VALUE!</v>
      </c>
      <c r="B223" s="4652"/>
      <c r="C223" s="4652"/>
      <c r="D223" s="4652"/>
      <c r="E223" s="4652"/>
      <c r="F223" s="4652"/>
      <c r="G223" s="4652"/>
      <c r="H223" s="4652"/>
      <c r="I223" s="4652"/>
      <c r="J223" s="127"/>
    </row>
    <row r="224" spans="1:10" ht="14.25" customHeight="1">
      <c r="A224" s="4650" t="e">
        <f>"(nachrichtlich: durchschnittlich je Berechnungstag "&amp;FIXED(Protokoll!$C$37,2)&amp;" €, bereits in den Pflegesätzen zu Ziffer 1 enthalten)"</f>
        <v>#VALUE!</v>
      </c>
      <c r="B224" s="4650"/>
      <c r="C224" s="4650"/>
      <c r="D224" s="4650"/>
      <c r="E224" s="4650"/>
      <c r="F224" s="4650"/>
      <c r="G224" s="4650"/>
      <c r="H224" s="4650"/>
      <c r="I224" s="4650"/>
      <c r="J224" s="122"/>
    </row>
    <row r="225" spans="1:9" ht="14.25" customHeight="1">
      <c r="A225" s="54"/>
      <c r="B225" s="54"/>
      <c r="C225" s="79"/>
      <c r="D225" s="79"/>
      <c r="E225" s="80"/>
      <c r="F225" s="79"/>
      <c r="G225" s="116"/>
      <c r="H225" s="86"/>
    </row>
    <row r="226" spans="1:9" ht="14.25" hidden="1" customHeight="1">
      <c r="A226" s="54"/>
      <c r="B226" s="54"/>
      <c r="C226" s="79"/>
      <c r="D226" s="79"/>
      <c r="E226" s="80"/>
      <c r="F226" s="79"/>
      <c r="G226" s="106"/>
      <c r="H226" s="86"/>
    </row>
    <row r="227" spans="1:9" ht="14.25" customHeight="1">
      <c r="A227" s="54"/>
      <c r="B227" s="54" t="s">
        <v>2005</v>
      </c>
      <c r="C227" s="79"/>
      <c r="D227" s="79"/>
      <c r="E227" s="80"/>
      <c r="F227" s="79"/>
      <c r="G227" s="106"/>
      <c r="H227" s="86"/>
    </row>
    <row r="228" spans="1:9" ht="14.25" customHeight="1">
      <c r="A228" s="54"/>
      <c r="B228" s="54" t="s">
        <v>2006</v>
      </c>
      <c r="C228" s="79"/>
      <c r="D228" s="79"/>
      <c r="E228" s="80"/>
      <c r="F228" s="79"/>
      <c r="G228" s="106"/>
      <c r="H228" s="86"/>
    </row>
    <row r="229" spans="1:9" ht="14.25" customHeight="1">
      <c r="A229" s="4645" t="s">
        <v>6</v>
      </c>
      <c r="B229" s="4645"/>
      <c r="C229" s="4645"/>
      <c r="D229" s="4645"/>
      <c r="E229" s="4645"/>
      <c r="F229" s="4645"/>
      <c r="G229" s="4645"/>
      <c r="H229" s="4645"/>
      <c r="I229" s="4645"/>
    </row>
    <row r="230" spans="1:9" ht="14.25" customHeight="1">
      <c r="A230" s="3650"/>
      <c r="B230" s="3650"/>
      <c r="C230" s="3650"/>
      <c r="D230" s="3650"/>
      <c r="E230" s="3650"/>
      <c r="F230" s="3650"/>
      <c r="G230" s="3650"/>
      <c r="H230" s="3650"/>
      <c r="I230" s="3650"/>
    </row>
    <row r="231" spans="1:9" ht="14.25" customHeight="1">
      <c r="A231" s="3726" t="s">
        <v>2306</v>
      </c>
      <c r="B231" s="54" t="s">
        <v>1364</v>
      </c>
      <c r="C231" s="79"/>
      <c r="D231" s="79"/>
      <c r="E231" s="80"/>
      <c r="F231" s="79"/>
      <c r="G231" s="3726"/>
      <c r="H231" s="3726"/>
      <c r="I231" s="3726"/>
    </row>
    <row r="232" spans="1:9" ht="14.25" customHeight="1">
      <c r="A232" s="3726"/>
      <c r="B232" s="54" t="s">
        <v>1365</v>
      </c>
      <c r="C232" s="79"/>
      <c r="D232" s="79"/>
      <c r="E232" s="80"/>
      <c r="F232" s="79"/>
      <c r="G232" s="3726"/>
      <c r="H232" s="3726"/>
      <c r="I232" s="3726"/>
    </row>
    <row r="233" spans="1:9" ht="14.25" customHeight="1">
      <c r="A233" s="3726"/>
      <c r="B233" s="54" t="s">
        <v>1366</v>
      </c>
      <c r="C233" s="79"/>
      <c r="D233" s="79"/>
      <c r="E233" s="80"/>
      <c r="F233" s="79"/>
      <c r="G233" s="3726"/>
      <c r="H233" s="3726"/>
      <c r="I233" s="3726"/>
    </row>
    <row r="234" spans="1:9" ht="14.25" customHeight="1">
      <c r="A234" s="3726"/>
      <c r="B234" s="54" t="s">
        <v>1367</v>
      </c>
      <c r="C234" s="79"/>
      <c r="D234" s="79"/>
      <c r="E234" s="80"/>
      <c r="F234" s="79"/>
      <c r="G234" s="3726"/>
      <c r="H234" s="3726"/>
      <c r="I234" s="3726"/>
    </row>
    <row r="235" spans="1:9" ht="14.25" customHeight="1">
      <c r="A235" s="3726"/>
      <c r="B235" s="54" t="s">
        <v>2310</v>
      </c>
      <c r="C235" s="79"/>
      <c r="D235" s="79"/>
      <c r="E235" s="80"/>
      <c r="F235" s="79"/>
      <c r="G235" s="3726"/>
      <c r="H235" s="3726"/>
      <c r="I235" s="3726"/>
    </row>
    <row r="236" spans="1:9" ht="14.25" customHeight="1">
      <c r="A236" s="3726"/>
      <c r="B236" s="54" t="s">
        <v>1369</v>
      </c>
      <c r="C236" s="79"/>
      <c r="D236" s="79"/>
      <c r="E236" s="80"/>
      <c r="F236" s="79"/>
      <c r="G236" s="3726"/>
      <c r="H236" s="3726"/>
      <c r="I236" s="3726"/>
    </row>
    <row r="237" spans="1:9" ht="14.25" customHeight="1">
      <c r="A237" s="3726"/>
      <c r="B237" s="3726"/>
      <c r="C237" s="3726"/>
      <c r="D237" s="3726"/>
      <c r="E237" s="3726"/>
      <c r="F237" s="3726"/>
      <c r="G237" s="3726"/>
      <c r="H237" s="3726"/>
      <c r="I237" s="3726"/>
    </row>
    <row r="238" spans="1:9" ht="14.25" customHeight="1">
      <c r="A238" s="3726"/>
      <c r="B238" s="54"/>
      <c r="C238" s="79"/>
      <c r="D238" s="79"/>
      <c r="E238" s="3680" t="e">
        <f>IF('Copy &amp; Paste'!I12&gt;0,Kurzzeitpflege!C45,FIXED(Protokoll!$D$25,2))</f>
        <v>#VALUE!</v>
      </c>
      <c r="F238" s="3681" t="s">
        <v>929</v>
      </c>
      <c r="G238" s="3682" t="str">
        <f>IF('Copy &amp; Paste'!I12&gt;0,"","(Verweis PG 3).")</f>
        <v>(Verweis PG 3).</v>
      </c>
      <c r="H238" s="3725"/>
    </row>
    <row r="239" spans="1:9" ht="14.25" customHeight="1">
      <c r="A239" s="3726"/>
      <c r="B239" s="54"/>
      <c r="C239" s="79"/>
      <c r="D239" s="79"/>
      <c r="E239" s="80"/>
      <c r="F239" s="79"/>
      <c r="G239" s="595"/>
      <c r="H239" s="3725"/>
    </row>
    <row r="240" spans="1:9" ht="14.25" customHeight="1">
      <c r="A240" s="3726"/>
      <c r="B240" s="54" t="str">
        <f>IF('Copy &amp; Paste'!I12&gt;0,"gemäß der Ergänzungsvereinbarung zur Vereinbarung gemäß §§ 84, 85 und 87 SGB XI vom","Ab Bekanntwerden des endgültig festgestellten Pflegegrades richtet sich die Vergütung nach")</f>
        <v>Ab Bekanntwerden des endgültig festgestellten Pflegegrades richtet sich die Vergütung nach</v>
      </c>
      <c r="C240" s="79"/>
      <c r="D240" s="79"/>
      <c r="E240" s="80"/>
      <c r="F240" s="79"/>
      <c r="G240" s="106"/>
      <c r="H240" s="86"/>
    </row>
    <row r="241" spans="1:9" ht="14.25" customHeight="1">
      <c r="A241" s="3726"/>
      <c r="B241" s="4648" t="str">
        <f>IF('Copy &amp; Paste'!I12&gt;0,CONCATENATE(TEXT('VV KZP fix flex'!I1,"TT.MM.JJJJ")," über die Leistung, Qualität und Vergütung der Leistungen der Kurzzeitpflege."),"Ziffer 1.1 a dieser Vereinbarung. Eine Rückverrechnung erfolgt nicht.")</f>
        <v>Ziffer 1.1 a dieser Vereinbarung. Eine Rückverrechnung erfolgt nicht.</v>
      </c>
      <c r="C241" s="4648"/>
      <c r="D241" s="4648"/>
      <c r="E241" s="4648"/>
      <c r="F241" s="4648"/>
      <c r="G241" s="4648"/>
      <c r="H241" s="4648"/>
    </row>
    <row r="242" spans="1:9" ht="14.25" customHeight="1">
      <c r="A242" s="3726"/>
      <c r="B242" s="2837" t="str">
        <f>IF('Copy &amp; Paste'!I12&gt;0,"Eine Rückverrechnung erfolgt nicht.","")</f>
        <v/>
      </c>
      <c r="C242" s="3726"/>
      <c r="D242" s="3726"/>
      <c r="E242" s="3726"/>
      <c r="F242" s="3726"/>
      <c r="G242" s="3726"/>
      <c r="H242" s="3726"/>
      <c r="I242" s="3726"/>
    </row>
    <row r="243" spans="1:9" ht="14.25" customHeight="1">
      <c r="A243" s="3726"/>
      <c r="B243" s="3726"/>
      <c r="C243" s="3726"/>
      <c r="D243" s="3726"/>
      <c r="E243" s="3726"/>
      <c r="F243" s="3726"/>
      <c r="G243" s="3726"/>
      <c r="H243" s="3726"/>
      <c r="I243" s="3726"/>
    </row>
    <row r="244" spans="1:9" ht="14.25" customHeight="1">
      <c r="A244" s="3649"/>
      <c r="B244" s="4641" t="s">
        <v>2272</v>
      </c>
      <c r="C244" s="4641"/>
      <c r="D244" s="4641"/>
      <c r="E244" s="4641"/>
      <c r="F244" s="4641"/>
      <c r="G244" s="4641"/>
      <c r="H244" s="4641"/>
      <c r="I244" s="3649"/>
    </row>
    <row r="245" spans="1:9" ht="14.25" customHeight="1">
      <c r="A245" s="3649"/>
      <c r="B245" s="4641" t="s">
        <v>2273</v>
      </c>
      <c r="C245" s="4641"/>
      <c r="D245" s="4641"/>
      <c r="E245" s="4641"/>
      <c r="F245" s="4641"/>
      <c r="G245" s="4641"/>
      <c r="H245" s="4641"/>
      <c r="I245" s="3649"/>
    </row>
    <row r="246" spans="1:9" ht="14.25" customHeight="1">
      <c r="A246" s="54"/>
      <c r="B246" s="54"/>
      <c r="C246" s="3648"/>
      <c r="D246" s="3648"/>
      <c r="E246" s="3648"/>
      <c r="F246" s="3648"/>
      <c r="G246" s="3648"/>
      <c r="H246" s="3648"/>
    </row>
    <row r="247" spans="1:9" ht="14.25" customHeight="1">
      <c r="A247" s="77" t="s">
        <v>2274</v>
      </c>
      <c r="B247" s="54" t="s">
        <v>941</v>
      </c>
      <c r="C247" s="54"/>
      <c r="D247" s="54"/>
      <c r="E247" s="54"/>
      <c r="F247" s="54"/>
      <c r="G247" s="54"/>
      <c r="H247" s="54"/>
      <c r="I247" s="81"/>
    </row>
    <row r="248" spans="1:9" ht="14.25" customHeight="1">
      <c r="A248" s="54"/>
      <c r="B248" s="54" t="s">
        <v>2276</v>
      </c>
      <c r="C248" s="54"/>
      <c r="D248" s="54"/>
      <c r="E248" s="54"/>
      <c r="F248" s="54"/>
      <c r="G248" s="54"/>
      <c r="H248" s="54"/>
    </row>
    <row r="249" spans="1:9" ht="14.25" customHeight="1">
      <c r="A249" s="54"/>
      <c r="B249" s="54"/>
      <c r="C249" s="54"/>
      <c r="D249" s="54"/>
      <c r="E249" s="54"/>
      <c r="F249" s="54"/>
      <c r="G249" s="54"/>
      <c r="H249" s="54"/>
    </row>
    <row r="250" spans="1:9" ht="14.25" customHeight="1">
      <c r="A250" s="54"/>
      <c r="B250" s="54"/>
      <c r="C250" s="65" t="s">
        <v>1214</v>
      </c>
      <c r="D250" s="449" t="s">
        <v>1215</v>
      </c>
      <c r="E250" s="4642" t="s">
        <v>1216</v>
      </c>
      <c r="F250" s="4642"/>
      <c r="G250" s="54"/>
      <c r="H250" s="450" t="s">
        <v>1016</v>
      </c>
    </row>
    <row r="251" spans="1:9" ht="14.25" customHeight="1">
      <c r="A251" s="54"/>
      <c r="B251" s="54"/>
      <c r="C251" s="54"/>
      <c r="D251" s="54"/>
      <c r="E251" s="54"/>
      <c r="F251" s="54"/>
      <c r="G251" s="54"/>
      <c r="H251" s="70"/>
    </row>
    <row r="252" spans="1:9" ht="14.25" customHeight="1">
      <c r="A252" s="54"/>
      <c r="C252" s="54" t="s">
        <v>811</v>
      </c>
      <c r="D252" s="451">
        <v>404000</v>
      </c>
      <c r="E252" s="3679" t="e">
        <f>FIXED(Protokoll!$B$42,2)</f>
        <v>#REF!</v>
      </c>
      <c r="F252" s="56" t="s">
        <v>929</v>
      </c>
      <c r="H252" s="3677" t="e">
        <f>FIXED(E252*30.42,2)&amp;" €"</f>
        <v>#REF!</v>
      </c>
    </row>
    <row r="253" spans="1:9" ht="14.25" customHeight="1">
      <c r="A253" s="54"/>
      <c r="C253" s="54" t="s">
        <v>812</v>
      </c>
      <c r="D253" s="451">
        <v>404000</v>
      </c>
      <c r="E253" s="3679" t="e">
        <f>FIXED(Protokoll!$C$42,2)</f>
        <v>#REF!</v>
      </c>
      <c r="F253" s="56" t="s">
        <v>929</v>
      </c>
      <c r="H253" s="3677" t="e">
        <f>FIXED(E253*30.42,2)&amp;" €"</f>
        <v>#REF!</v>
      </c>
    </row>
    <row r="254" spans="1:9" ht="14.25" customHeight="1">
      <c r="A254" s="54"/>
      <c r="C254" s="54" t="s">
        <v>813</v>
      </c>
      <c r="D254" s="451">
        <v>404000</v>
      </c>
      <c r="E254" s="3679" t="e">
        <f>FIXED(Protokoll!$D$42,2)</f>
        <v>#REF!</v>
      </c>
      <c r="F254" s="56" t="s">
        <v>929</v>
      </c>
      <c r="H254" s="3677" t="e">
        <f>FIXED(E254*30.42,2)&amp;" €"</f>
        <v>#REF!</v>
      </c>
    </row>
    <row r="255" spans="1:9" ht="14.25" customHeight="1">
      <c r="A255" s="54"/>
      <c r="C255" s="54" t="s">
        <v>814</v>
      </c>
      <c r="D255" s="451">
        <v>404000</v>
      </c>
      <c r="E255" s="3680" t="e">
        <f>FIXED(Protokoll!$E$42,2)</f>
        <v>#REF!</v>
      </c>
      <c r="F255" s="56" t="s">
        <v>929</v>
      </c>
      <c r="H255" s="3678" t="e">
        <f>FIXED(E255*30.42,2)&amp;" €"</f>
        <v>#REF!</v>
      </c>
    </row>
    <row r="256" spans="1:9" ht="14.25" customHeight="1">
      <c r="A256" s="3650"/>
      <c r="B256" s="3648"/>
      <c r="C256" s="54" t="s">
        <v>815</v>
      </c>
      <c r="D256" s="451">
        <v>404000</v>
      </c>
      <c r="E256" s="3680" t="e">
        <f>FIXED(Protokoll!$F$42,2)</f>
        <v>#REF!</v>
      </c>
      <c r="F256" s="56" t="s">
        <v>931</v>
      </c>
      <c r="H256" s="3678" t="e">
        <f>FIXED(E256*30.42,2)&amp;" €."</f>
        <v>#REF!</v>
      </c>
    </row>
    <row r="257" spans="1:9" ht="14.25" customHeight="1">
      <c r="A257" s="108"/>
      <c r="B257" s="109"/>
      <c r="C257" s="102"/>
      <c r="D257" s="102"/>
      <c r="E257" s="103"/>
      <c r="F257" s="102"/>
      <c r="G257" s="104"/>
      <c r="H257" s="101"/>
      <c r="I257" s="105"/>
    </row>
    <row r="258" spans="1:9" ht="14.25" customHeight="1">
      <c r="A258" s="54"/>
      <c r="B258" s="54" t="s">
        <v>1017</v>
      </c>
      <c r="C258" s="79"/>
      <c r="D258" s="79"/>
      <c r="E258" s="80"/>
      <c r="F258" s="79"/>
      <c r="G258" s="28"/>
      <c r="H258" s="86"/>
    </row>
    <row r="259" spans="1:9" ht="14.25" customHeight="1">
      <c r="A259" s="54"/>
      <c r="B259" s="54" t="s">
        <v>1018</v>
      </c>
      <c r="C259" s="79"/>
      <c r="D259" s="79"/>
      <c r="E259" s="80"/>
      <c r="F259" s="79"/>
      <c r="G259" s="28"/>
      <c r="H259" s="86"/>
    </row>
    <row r="260" spans="1:9" ht="14.25" customHeight="1">
      <c r="A260" s="54"/>
      <c r="B260" s="54"/>
      <c r="C260" s="79"/>
      <c r="D260" s="79"/>
      <c r="E260" s="80"/>
      <c r="F260" s="79"/>
      <c r="G260" s="28"/>
      <c r="H260" s="86"/>
    </row>
    <row r="261" spans="1:9" ht="14.25" customHeight="1">
      <c r="A261" s="4643" t="e">
        <f>FIXED(Protokoll!C44,2)&amp;" €"</f>
        <v>#REF!</v>
      </c>
      <c r="B261" s="4643"/>
      <c r="C261" s="4643"/>
      <c r="D261" s="4643"/>
      <c r="E261" s="4643"/>
      <c r="F261" s="4643"/>
      <c r="G261" s="4643"/>
      <c r="H261" s="4643"/>
      <c r="I261" s="4643"/>
    </row>
    <row r="262" spans="1:9" ht="14.25" customHeight="1">
      <c r="A262" s="4644" t="e">
        <f>"(nachrichtlich: durchschnittlich je Berechnungstag "&amp;FIXED(Protokoll!$C$45,2)&amp;" €, bereits in den Pflegesätzen zu Ziffer 1 enthalten)"</f>
        <v>#REF!</v>
      </c>
      <c r="B262" s="4644"/>
      <c r="C262" s="4644"/>
      <c r="D262" s="4644"/>
      <c r="E262" s="4644"/>
      <c r="F262" s="4644"/>
      <c r="G262" s="4644"/>
      <c r="H262" s="4644"/>
      <c r="I262" s="4644"/>
    </row>
    <row r="263" spans="1:9" ht="14.25" customHeight="1">
      <c r="A263" s="54"/>
      <c r="B263" s="54"/>
      <c r="C263" s="79"/>
      <c r="D263" s="79"/>
      <c r="E263" s="80"/>
      <c r="F263" s="79"/>
      <c r="G263" s="116"/>
      <c r="H263" s="86"/>
    </row>
    <row r="264" spans="1:9" ht="14.25" customHeight="1">
      <c r="A264" s="54"/>
      <c r="B264" s="54" t="s">
        <v>2005</v>
      </c>
      <c r="C264" s="79"/>
      <c r="D264" s="79"/>
      <c r="E264" s="80"/>
      <c r="F264" s="79"/>
      <c r="G264" s="106"/>
      <c r="H264" s="86"/>
    </row>
    <row r="265" spans="1:9" ht="14.25" customHeight="1">
      <c r="A265" s="54"/>
      <c r="B265" s="54" t="s">
        <v>2006</v>
      </c>
      <c r="C265" s="79"/>
      <c r="D265" s="79"/>
      <c r="E265" s="80"/>
      <c r="F265" s="79"/>
      <c r="G265" s="106"/>
      <c r="H265" s="86"/>
    </row>
    <row r="266" spans="1:9" ht="14.25" customHeight="1">
      <c r="A266" s="54"/>
      <c r="B266" s="54"/>
      <c r="C266" s="79"/>
      <c r="D266" s="79"/>
      <c r="E266" s="80"/>
      <c r="F266" s="79"/>
      <c r="G266" s="106"/>
      <c r="H266" s="86"/>
    </row>
    <row r="267" spans="1:9" ht="14.25" customHeight="1">
      <c r="A267" s="63" t="s">
        <v>2307</v>
      </c>
      <c r="B267" s="54" t="s">
        <v>1364</v>
      </c>
      <c r="C267" s="79"/>
      <c r="D267" s="79"/>
      <c r="E267" s="80"/>
      <c r="F267" s="79"/>
      <c r="G267" s="106"/>
      <c r="H267" s="86"/>
    </row>
    <row r="268" spans="1:9" ht="14.25">
      <c r="A268" s="54"/>
      <c r="B268" s="54" t="s">
        <v>1365</v>
      </c>
      <c r="C268" s="79"/>
      <c r="D268" s="79"/>
      <c r="E268" s="80"/>
      <c r="F268" s="79"/>
      <c r="G268" s="106"/>
      <c r="H268" s="86"/>
    </row>
    <row r="269" spans="1:9" ht="14.25">
      <c r="A269" s="54"/>
      <c r="B269" s="54" t="s">
        <v>1366</v>
      </c>
      <c r="C269" s="79"/>
      <c r="D269" s="79"/>
      <c r="E269" s="80"/>
      <c r="F269" s="79"/>
      <c r="G269" s="106"/>
      <c r="H269" s="86"/>
    </row>
    <row r="270" spans="1:9" ht="14.25">
      <c r="A270" s="54"/>
      <c r="B270" s="54" t="s">
        <v>1367</v>
      </c>
      <c r="C270" s="79"/>
      <c r="D270" s="79"/>
      <c r="E270" s="80"/>
      <c r="F270" s="79"/>
      <c r="G270" s="106"/>
      <c r="H270" s="86"/>
    </row>
    <row r="271" spans="1:9" ht="14.25">
      <c r="A271" s="54"/>
      <c r="B271" s="54" t="s">
        <v>2311</v>
      </c>
      <c r="C271" s="79"/>
      <c r="D271" s="79"/>
      <c r="E271" s="80"/>
      <c r="F271" s="79"/>
      <c r="G271" s="106"/>
      <c r="H271" s="86"/>
    </row>
    <row r="272" spans="1:9" ht="14.25" customHeight="1">
      <c r="A272" s="54"/>
      <c r="B272" s="54" t="s">
        <v>1369</v>
      </c>
      <c r="C272" s="79"/>
      <c r="D272" s="79"/>
      <c r="E272" s="80"/>
      <c r="F272" s="79"/>
      <c r="G272" s="595"/>
      <c r="H272" s="3648"/>
    </row>
    <row r="273" spans="1:8" ht="14.25" customHeight="1">
      <c r="A273" s="54"/>
      <c r="B273" s="54"/>
      <c r="C273" s="79"/>
      <c r="D273" s="79"/>
      <c r="E273" s="80"/>
      <c r="F273" s="79"/>
      <c r="G273" s="595"/>
      <c r="H273" s="3648"/>
    </row>
    <row r="274" spans="1:8" ht="14.25" customHeight="1">
      <c r="A274" s="54"/>
      <c r="B274" s="54"/>
      <c r="C274" s="79"/>
      <c r="D274" s="79"/>
      <c r="E274" s="3680" t="e">
        <f>IF('Copy &amp; Paste'!I12&gt;0,Kurzzeitpflege!C45,FIXED(Protokoll!$D$42,2))</f>
        <v>#REF!</v>
      </c>
      <c r="F274" s="3681" t="s">
        <v>929</v>
      </c>
      <c r="G274" s="3682" t="str">
        <f>IF('Copy &amp; Paste'!I12&gt;0,"","(Verweis PG 3).")</f>
        <v>(Verweis PG 3).</v>
      </c>
      <c r="H274" s="3648"/>
    </row>
    <row r="275" spans="1:8" ht="14.25">
      <c r="A275" s="54"/>
      <c r="B275" s="54"/>
      <c r="C275" s="79"/>
      <c r="D275" s="79"/>
      <c r="E275" s="80"/>
      <c r="F275" s="79"/>
      <c r="G275" s="595"/>
      <c r="H275" s="3648"/>
    </row>
    <row r="276" spans="1:8" ht="14.25">
      <c r="A276" s="54"/>
      <c r="B276" s="54" t="str">
        <f>IF('Copy &amp; Paste'!I12&gt;0,"gemäß der Ergänzungsvereinbarung zur Vereinbarung gemäß §§ 84, 85 und 87 SGB XI vom","Ab Bekanntwerden des endgültig festgestellten Pflegegrades richtet sich die Vergütung nach")</f>
        <v>Ab Bekanntwerden des endgültig festgestellten Pflegegrades richtet sich die Vergütung nach</v>
      </c>
      <c r="C276" s="79"/>
      <c r="D276" s="79"/>
      <c r="E276" s="80"/>
      <c r="F276" s="79"/>
      <c r="G276" s="106"/>
      <c r="H276" s="86"/>
    </row>
    <row r="277" spans="1:8" ht="14.25">
      <c r="A277" s="54"/>
      <c r="B277" s="4648" t="str">
        <f>IF('Copy &amp; Paste'!I12&gt;0,CONCATENATE(TEXT('VV KZP fix flex'!I1,"TT.MM.JJJJ")," über die Leistung, Qualität und Vergütung der Leistungen der Kurzzeitpflege."),"Ziffer 1.1 b dieser Vereinbarung. Eine Rückverrechnung erfolgt nicht.")</f>
        <v>Ziffer 1.1 b dieser Vereinbarung. Eine Rückverrechnung erfolgt nicht.</v>
      </c>
      <c r="C277" s="4648"/>
      <c r="D277" s="4648"/>
      <c r="E277" s="4648"/>
      <c r="F277" s="4648"/>
      <c r="G277" s="4648"/>
      <c r="H277" s="4648"/>
    </row>
    <row r="278" spans="1:8" ht="14.25">
      <c r="A278" s="54"/>
      <c r="B278" s="2837" t="str">
        <f>IF('Copy &amp; Paste'!I12&gt;0,"Eine Rückverrechnung erfolgt nicht.","")</f>
        <v/>
      </c>
      <c r="C278" s="79"/>
      <c r="D278" s="79"/>
      <c r="E278" s="80"/>
      <c r="F278" s="79"/>
      <c r="G278" s="106"/>
      <c r="H278" s="86"/>
    </row>
    <row r="279" spans="1:8" ht="14.25">
      <c r="A279" s="54"/>
      <c r="B279" s="54"/>
      <c r="C279" s="79"/>
      <c r="D279" s="79"/>
      <c r="E279" s="80"/>
      <c r="F279" s="79"/>
      <c r="G279" s="106"/>
      <c r="H279" s="86"/>
    </row>
    <row r="280" spans="1:8" ht="14.25">
      <c r="A280" s="63" t="s">
        <v>1408</v>
      </c>
      <c r="B280" s="54" t="s">
        <v>2015</v>
      </c>
      <c r="C280" s="79"/>
      <c r="D280" s="79"/>
      <c r="E280" s="80"/>
      <c r="F280" s="79"/>
      <c r="G280" s="106"/>
      <c r="H280" s="86"/>
    </row>
    <row r="281" spans="1:8" ht="14.25">
      <c r="A281" s="54"/>
      <c r="B281" s="54" t="s">
        <v>2016</v>
      </c>
      <c r="C281" s="79"/>
      <c r="D281" s="79"/>
      <c r="E281" s="80"/>
      <c r="F281" s="79"/>
      <c r="G281" s="106"/>
      <c r="H281" s="86"/>
    </row>
    <row r="282" spans="1:8" ht="14.25">
      <c r="A282" s="54"/>
      <c r="B282" s="54" t="s">
        <v>2017</v>
      </c>
      <c r="C282" s="79"/>
      <c r="D282" s="79"/>
      <c r="E282" s="80"/>
      <c r="F282" s="79"/>
      <c r="G282" s="106"/>
      <c r="H282" s="86"/>
    </row>
    <row r="283" spans="1:8" ht="14.25">
      <c r="A283" s="54"/>
      <c r="B283" s="54" t="s">
        <v>2018</v>
      </c>
      <c r="C283" s="79"/>
      <c r="D283" s="79"/>
      <c r="E283" s="80"/>
      <c r="F283" s="79"/>
      <c r="G283" s="106"/>
      <c r="H283" s="86"/>
    </row>
    <row r="284" spans="1:8" ht="14.25">
      <c r="A284" s="54"/>
      <c r="B284" s="54" t="s">
        <v>2019</v>
      </c>
      <c r="C284" s="79"/>
      <c r="D284" s="79"/>
      <c r="E284" s="80"/>
      <c r="F284" s="79"/>
      <c r="G284" s="106"/>
      <c r="H284" s="86"/>
    </row>
    <row r="285" spans="1:8" ht="14.25">
      <c r="A285" s="54"/>
      <c r="B285" s="54" t="s">
        <v>2020</v>
      </c>
      <c r="C285" s="79"/>
      <c r="D285" s="79"/>
      <c r="E285" s="80"/>
      <c r="F285" s="79"/>
      <c r="G285" s="106"/>
      <c r="H285" s="86"/>
    </row>
    <row r="286" spans="1:8" ht="14.25">
      <c r="A286" s="54"/>
      <c r="B286" s="54"/>
      <c r="C286" s="79"/>
      <c r="D286" s="79"/>
      <c r="E286" s="80"/>
      <c r="F286" s="79"/>
      <c r="G286" s="106"/>
      <c r="H286" s="86"/>
    </row>
    <row r="287" spans="1:8" ht="14.25">
      <c r="A287" s="77" t="s">
        <v>1429</v>
      </c>
      <c r="B287" s="54" t="s">
        <v>2026</v>
      </c>
      <c r="C287" s="79"/>
      <c r="D287" s="79"/>
      <c r="E287" s="80"/>
      <c r="F287" s="79"/>
      <c r="G287" s="106"/>
      <c r="H287" s="86"/>
    </row>
    <row r="288" spans="1:8" ht="14.25">
      <c r="A288" s="54"/>
      <c r="B288" s="54" t="s">
        <v>2027</v>
      </c>
      <c r="C288" s="79"/>
      <c r="D288" s="79"/>
      <c r="E288" s="80"/>
      <c r="F288" s="79"/>
      <c r="G288" s="106"/>
      <c r="H288" s="86"/>
    </row>
    <row r="289" spans="1:14" ht="14.25">
      <c r="A289" s="54"/>
      <c r="B289" s="54" t="s">
        <v>2028</v>
      </c>
      <c r="C289" s="79"/>
      <c r="D289" s="79"/>
      <c r="E289" s="80"/>
      <c r="F289" s="79"/>
      <c r="G289" s="106"/>
      <c r="H289" s="86"/>
    </row>
    <row r="290" spans="1:14" ht="14.25">
      <c r="A290" s="54"/>
      <c r="B290" s="54"/>
      <c r="C290" s="79"/>
      <c r="D290" s="79"/>
      <c r="E290" s="80"/>
      <c r="F290" s="79"/>
      <c r="G290" s="106"/>
      <c r="H290" s="86"/>
    </row>
    <row r="291" spans="1:14" s="55" customFormat="1" ht="15">
      <c r="A291" s="54"/>
      <c r="B291" s="54"/>
      <c r="C291" s="65"/>
      <c r="D291" s="65"/>
      <c r="E291" s="3248" t="e">
        <f>Ergebnis!H28</f>
        <v>#VALUE!</v>
      </c>
      <c r="F291" s="3249" t="s">
        <v>929</v>
      </c>
      <c r="G291" s="3250" t="s">
        <v>2032</v>
      </c>
      <c r="H291" s="3251" t="str">
        <f>(Ergebnis!E28)&amp;" VK Auszubildende(n)"</f>
        <v>0 VK Auszubildende(n)</v>
      </c>
      <c r="N291" s="3252"/>
    </row>
    <row r="292" spans="1:14" ht="14.25">
      <c r="A292" s="54"/>
      <c r="B292" s="54"/>
      <c r="C292" s="79"/>
      <c r="D292" s="79"/>
      <c r="E292" s="80"/>
      <c r="F292" s="79"/>
      <c r="G292" s="106"/>
      <c r="H292" s="86"/>
    </row>
    <row r="293" spans="1:14" ht="14.25">
      <c r="A293" s="54"/>
      <c r="B293" s="54" t="s">
        <v>2029</v>
      </c>
      <c r="C293" s="79"/>
      <c r="D293" s="79"/>
      <c r="E293" s="80"/>
      <c r="F293" s="79"/>
      <c r="G293" s="106"/>
      <c r="H293" s="86"/>
    </row>
    <row r="294" spans="1:14" ht="14.25">
      <c r="A294" s="54"/>
      <c r="B294" s="54" t="s">
        <v>2030</v>
      </c>
      <c r="C294" s="79"/>
      <c r="D294" s="79"/>
      <c r="E294" s="80"/>
      <c r="F294" s="79"/>
      <c r="G294" s="106"/>
      <c r="H294" s="86"/>
    </row>
    <row r="295" spans="1:14" ht="14.25">
      <c r="A295" s="54"/>
      <c r="B295" s="54" t="s">
        <v>2031</v>
      </c>
      <c r="C295" s="79"/>
      <c r="D295" s="79"/>
      <c r="E295" s="80"/>
      <c r="F295" s="79"/>
      <c r="G295" s="106"/>
      <c r="H295" s="86"/>
    </row>
    <row r="296" spans="1:14" ht="14.25">
      <c r="A296" s="54"/>
      <c r="B296" s="54"/>
      <c r="C296" s="79"/>
      <c r="D296" s="79"/>
      <c r="E296" s="80"/>
      <c r="F296" s="79"/>
      <c r="G296" s="106"/>
      <c r="H296" s="86"/>
    </row>
    <row r="297" spans="1:14" ht="14.25">
      <c r="A297" s="54"/>
      <c r="B297" s="54"/>
      <c r="C297" s="79"/>
      <c r="D297" s="79"/>
      <c r="E297" s="80"/>
      <c r="F297" s="79"/>
      <c r="G297" s="106"/>
      <c r="H297" s="86"/>
    </row>
    <row r="298" spans="1:14" ht="14.25">
      <c r="A298" s="4645"/>
      <c r="B298" s="4645"/>
      <c r="C298" s="4645"/>
      <c r="D298" s="4645"/>
      <c r="E298" s="4645"/>
      <c r="F298" s="4645"/>
      <c r="G298" s="4645"/>
      <c r="H298" s="4645"/>
      <c r="I298" s="4645"/>
    </row>
    <row r="299" spans="1:14" ht="14.25">
      <c r="A299" s="54"/>
      <c r="B299" s="54"/>
      <c r="C299" s="79"/>
      <c r="D299" s="79"/>
      <c r="E299" s="80"/>
      <c r="F299" s="79"/>
      <c r="G299" s="106"/>
      <c r="H299" s="86"/>
    </row>
    <row r="300" spans="1:14" ht="14.25">
      <c r="A300" s="54"/>
      <c r="B300" s="54"/>
      <c r="C300" s="79"/>
      <c r="D300" s="79"/>
      <c r="E300" s="80"/>
      <c r="F300" s="79"/>
      <c r="G300" s="106"/>
      <c r="H300" s="86"/>
    </row>
    <row r="301" spans="1:14" ht="14.25">
      <c r="A301" s="4645" t="s">
        <v>7</v>
      </c>
      <c r="B301" s="4645"/>
      <c r="C301" s="4645"/>
      <c r="D301" s="4645"/>
      <c r="E301" s="4645"/>
      <c r="F301" s="4645"/>
      <c r="G301" s="4645"/>
      <c r="H301" s="4645"/>
      <c r="I301" s="4645"/>
    </row>
    <row r="302" spans="1:14" ht="14.25">
      <c r="A302" s="54"/>
      <c r="B302" s="54"/>
      <c r="C302" s="79"/>
      <c r="D302" s="79"/>
      <c r="E302" s="80"/>
      <c r="F302" s="79"/>
      <c r="G302" s="106"/>
      <c r="H302" s="86"/>
    </row>
    <row r="303" spans="1:14" ht="14.25">
      <c r="A303" s="63" t="s">
        <v>112</v>
      </c>
      <c r="B303" s="54" t="s">
        <v>1021</v>
      </c>
      <c r="C303" s="79"/>
      <c r="D303" s="79"/>
      <c r="E303" s="80"/>
      <c r="F303" s="79"/>
      <c r="G303" s="28"/>
      <c r="H303" s="87"/>
    </row>
    <row r="304" spans="1:14" ht="14.25">
      <c r="A304" s="63"/>
      <c r="B304" s="54"/>
      <c r="C304" s="79"/>
      <c r="D304" s="79"/>
      <c r="E304" s="80"/>
      <c r="F304" s="79"/>
      <c r="G304" s="28"/>
      <c r="H304" s="87"/>
    </row>
    <row r="305" spans="1:16" ht="14.25">
      <c r="A305" s="63"/>
      <c r="B305" s="54"/>
      <c r="C305" s="79"/>
      <c r="D305" s="79"/>
      <c r="E305" s="128" t="s">
        <v>1015</v>
      </c>
      <c r="F305" s="79"/>
      <c r="G305" s="28"/>
      <c r="H305" s="129" t="s">
        <v>1016</v>
      </c>
    </row>
    <row r="306" spans="1:16" ht="14.25">
      <c r="A306" s="54"/>
      <c r="C306" s="54"/>
      <c r="D306" s="54"/>
      <c r="F306" s="54"/>
      <c r="G306" s="9"/>
      <c r="H306" s="54"/>
    </row>
    <row r="307" spans="1:16" ht="15">
      <c r="A307" s="54"/>
      <c r="C307" s="54" t="s">
        <v>238</v>
      </c>
      <c r="D307" s="82"/>
      <c r="E307" s="114" t="e">
        <f>FIXED(Protokoll!$B$26,2)</f>
        <v>#VALUE!</v>
      </c>
      <c r="F307" s="56" t="s">
        <v>929</v>
      </c>
      <c r="G307" s="113"/>
      <c r="H307" s="126" t="e">
        <f>FIXED(E307*30.42,2)&amp;" €"</f>
        <v>#VALUE!</v>
      </c>
    </row>
    <row r="308" spans="1:16" ht="15">
      <c r="A308" s="54"/>
      <c r="B308" s="82"/>
      <c r="C308" s="54" t="s">
        <v>239</v>
      </c>
      <c r="D308" s="82"/>
      <c r="E308" s="113" t="e">
        <f>FIXED(Protokoll!$B$27,2)</f>
        <v>#VALUE!</v>
      </c>
      <c r="F308" s="56" t="s">
        <v>931</v>
      </c>
      <c r="G308" s="115"/>
      <c r="H308" s="125" t="e">
        <f>FIXED(E308*30.42,2)&amp;" €."</f>
        <v>#VALUE!</v>
      </c>
    </row>
    <row r="309" spans="1:16" ht="14.25">
      <c r="A309" s="3650"/>
      <c r="B309" s="3648"/>
      <c r="C309" s="54"/>
      <c r="D309" s="54"/>
      <c r="F309" s="54"/>
      <c r="G309" s="9"/>
      <c r="H309" s="54"/>
    </row>
    <row r="310" spans="1:16" ht="14.25">
      <c r="A310" s="54"/>
      <c r="B310" s="82" t="s">
        <v>313</v>
      </c>
      <c r="C310" s="54"/>
      <c r="D310" s="54"/>
      <c r="F310" s="54"/>
      <c r="G310" s="9"/>
      <c r="H310" s="54"/>
    </row>
    <row r="311" spans="1:16" ht="14.25">
      <c r="A311" s="54"/>
      <c r="B311" s="82" t="s">
        <v>314</v>
      </c>
      <c r="C311" s="54"/>
      <c r="D311" s="54"/>
      <c r="F311" s="54"/>
      <c r="G311" s="9"/>
      <c r="H311" s="54"/>
    </row>
    <row r="312" spans="1:16" ht="14.25">
      <c r="A312" s="54"/>
      <c r="B312" s="82" t="s">
        <v>315</v>
      </c>
      <c r="C312" s="54"/>
      <c r="D312" s="54"/>
      <c r="F312" s="54"/>
      <c r="G312" s="9"/>
      <c r="H312" s="54"/>
    </row>
    <row r="313" spans="1:16" ht="14.25">
      <c r="A313" s="54"/>
      <c r="B313" s="82" t="s">
        <v>316</v>
      </c>
      <c r="C313" s="3648"/>
      <c r="D313" s="3648"/>
      <c r="E313" s="3648"/>
      <c r="F313" s="3648"/>
      <c r="G313" s="3648"/>
      <c r="H313" s="3648"/>
    </row>
    <row r="314" spans="1:16" ht="14.25">
      <c r="A314" s="54"/>
      <c r="B314" s="82"/>
      <c r="C314" s="3648"/>
      <c r="D314" s="3648"/>
      <c r="E314" s="3648"/>
      <c r="F314" s="3648"/>
      <c r="G314" s="3648"/>
      <c r="H314" s="3648"/>
    </row>
    <row r="315" spans="1:16" ht="14.25">
      <c r="A315" s="63" t="s">
        <v>113</v>
      </c>
      <c r="B315" s="82" t="s">
        <v>1424</v>
      </c>
      <c r="C315" s="3648"/>
      <c r="D315" s="3648"/>
      <c r="E315" s="3648"/>
      <c r="F315" s="3648"/>
      <c r="G315" s="3648"/>
      <c r="H315" s="3648"/>
    </row>
    <row r="316" spans="1:16" ht="14.25">
      <c r="A316" s="54"/>
      <c r="B316" s="82" t="s">
        <v>1418</v>
      </c>
      <c r="C316" s="3648"/>
      <c r="D316" s="3648"/>
      <c r="E316" s="3648"/>
      <c r="F316" s="3648"/>
      <c r="G316" s="3648"/>
      <c r="H316" s="3648"/>
    </row>
    <row r="317" spans="1:16" ht="14.25">
      <c r="A317" s="54"/>
      <c r="B317" s="82" t="s">
        <v>1419</v>
      </c>
      <c r="C317" s="3648"/>
      <c r="D317" s="3648"/>
      <c r="E317" s="3648"/>
      <c r="F317" s="3648"/>
      <c r="G317" s="3648"/>
      <c r="H317" s="3648"/>
    </row>
    <row r="318" spans="1:16" ht="14.25">
      <c r="A318" s="54"/>
      <c r="B318" s="82" t="s">
        <v>1420</v>
      </c>
      <c r="C318" s="3648"/>
      <c r="D318" s="3648"/>
      <c r="E318" s="3648"/>
      <c r="F318" s="3648"/>
      <c r="G318" s="3648"/>
      <c r="H318" s="3648"/>
    </row>
    <row r="319" spans="1:16" ht="14.25">
      <c r="A319" s="54"/>
      <c r="B319" s="82" t="s">
        <v>1421</v>
      </c>
      <c r="C319" s="3648"/>
      <c r="D319" s="3648"/>
      <c r="E319" s="3648"/>
      <c r="F319" s="3648"/>
      <c r="G319" s="3648"/>
      <c r="H319" s="3648"/>
    </row>
    <row r="320" spans="1:16" ht="14.25" customHeight="1">
      <c r="A320" s="54"/>
      <c r="B320" s="82" t="s">
        <v>1423</v>
      </c>
      <c r="C320" s="3648"/>
      <c r="D320" s="3648"/>
      <c r="E320" s="3648"/>
      <c r="F320" s="3648"/>
      <c r="G320" s="3648"/>
      <c r="H320" s="3648"/>
      <c r="I320" s="54"/>
      <c r="J320" s="54"/>
      <c r="K320" s="54"/>
      <c r="L320" s="54"/>
      <c r="M320" s="54"/>
      <c r="N320" s="54"/>
      <c r="O320" s="54"/>
      <c r="P320" s="54"/>
    </row>
    <row r="321" spans="1:16" ht="14.25" customHeight="1">
      <c r="A321" s="54"/>
      <c r="B321" s="82" t="s">
        <v>1422</v>
      </c>
      <c r="C321" s="3648"/>
      <c r="D321" s="3648"/>
      <c r="E321" s="3648"/>
      <c r="F321" s="3648"/>
      <c r="G321" s="3648"/>
      <c r="H321" s="3648"/>
      <c r="I321" s="56"/>
      <c r="J321" s="54"/>
      <c r="K321" s="54"/>
      <c r="L321" s="54"/>
      <c r="M321" s="54"/>
      <c r="N321" s="54"/>
      <c r="O321" s="54"/>
      <c r="P321" s="54"/>
    </row>
    <row r="322" spans="1:16" ht="14.25" customHeight="1">
      <c r="A322" s="54"/>
      <c r="B322" s="82"/>
      <c r="C322" s="3648"/>
      <c r="D322" s="3648"/>
      <c r="E322" s="3648"/>
      <c r="F322" s="3648"/>
      <c r="G322" s="3648"/>
      <c r="H322" s="3648"/>
      <c r="I322" s="54"/>
      <c r="J322" s="54"/>
      <c r="K322" s="54"/>
      <c r="L322" s="54"/>
      <c r="M322" s="54"/>
      <c r="N322" s="54"/>
      <c r="O322" s="54"/>
      <c r="P322" s="54"/>
    </row>
    <row r="323" spans="1:16" ht="14.25">
      <c r="A323" s="54"/>
      <c r="B323" s="82" t="s">
        <v>1027</v>
      </c>
      <c r="C323" s="3648"/>
      <c r="D323" s="3648"/>
      <c r="E323" s="3648"/>
      <c r="F323" s="3648"/>
      <c r="G323" s="3648"/>
      <c r="H323" s="3648"/>
      <c r="I323" s="54"/>
      <c r="J323" s="54"/>
      <c r="K323" s="54"/>
      <c r="L323" s="54"/>
      <c r="M323" s="54"/>
      <c r="N323" s="54"/>
      <c r="O323" s="54"/>
      <c r="P323" s="54"/>
    </row>
    <row r="324" spans="1:16" ht="14.25">
      <c r="A324" s="54"/>
      <c r="B324" s="82" t="s">
        <v>1022</v>
      </c>
      <c r="C324" s="3648"/>
      <c r="D324" s="3648"/>
      <c r="E324" s="3648"/>
      <c r="F324" s="3648"/>
      <c r="G324" s="3648"/>
      <c r="H324" s="3648"/>
      <c r="I324" s="54"/>
      <c r="J324" s="54"/>
      <c r="K324" s="54"/>
      <c r="L324" s="54"/>
      <c r="M324" s="54"/>
      <c r="N324" s="54"/>
      <c r="O324" s="54"/>
      <c r="P324" s="54"/>
    </row>
    <row r="325" spans="1:16" ht="14.25" customHeight="1">
      <c r="A325" s="54"/>
      <c r="B325" s="82" t="s">
        <v>1023</v>
      </c>
      <c r="C325" s="3648"/>
      <c r="D325" s="3648"/>
      <c r="E325" s="3648"/>
      <c r="F325" s="3648"/>
      <c r="G325" s="3648"/>
      <c r="H325" s="3648"/>
      <c r="I325" s="54"/>
      <c r="J325" s="54"/>
      <c r="K325" s="54"/>
      <c r="L325" s="54"/>
      <c r="M325" s="54"/>
      <c r="N325" s="54"/>
      <c r="O325" s="54"/>
      <c r="P325" s="54"/>
    </row>
    <row r="326" spans="1:16" ht="14.25" customHeight="1">
      <c r="A326" s="54"/>
      <c r="B326" s="82" t="s">
        <v>1025</v>
      </c>
      <c r="C326" s="3648"/>
      <c r="D326" s="3648"/>
      <c r="E326" s="3648"/>
      <c r="F326" s="3648"/>
      <c r="G326" s="3648"/>
      <c r="H326" s="3648"/>
      <c r="I326" s="54"/>
      <c r="J326" s="54"/>
      <c r="K326" s="54"/>
      <c r="L326" s="54"/>
      <c r="M326" s="54"/>
      <c r="N326" s="54"/>
      <c r="O326" s="54"/>
      <c r="P326" s="54"/>
    </row>
    <row r="327" spans="1:16" ht="14.25" customHeight="1">
      <c r="A327" s="54"/>
      <c r="B327" s="82" t="s">
        <v>1026</v>
      </c>
      <c r="C327" s="3648"/>
      <c r="D327" s="3648"/>
      <c r="E327" s="3648"/>
      <c r="F327" s="3648"/>
      <c r="G327" s="3648"/>
      <c r="H327" s="3648"/>
      <c r="I327" s="54"/>
      <c r="J327" s="54"/>
      <c r="K327" s="54"/>
      <c r="L327" s="54"/>
      <c r="M327" s="54"/>
      <c r="N327" s="54"/>
      <c r="O327" s="54"/>
      <c r="P327" s="54"/>
    </row>
    <row r="328" spans="1:16" ht="14.25" customHeight="1">
      <c r="A328" s="4645"/>
      <c r="B328" s="4645"/>
      <c r="C328" s="4645"/>
      <c r="D328" s="4645"/>
      <c r="E328" s="4645"/>
      <c r="F328" s="4645"/>
      <c r="G328" s="4645"/>
      <c r="H328" s="4645"/>
      <c r="I328" s="4645"/>
      <c r="J328" s="54"/>
      <c r="K328" s="54"/>
      <c r="L328" s="54"/>
      <c r="M328" s="54"/>
      <c r="N328" s="54"/>
      <c r="O328" s="54"/>
      <c r="P328" s="54"/>
    </row>
    <row r="329" spans="1:16" ht="14.25" customHeight="1">
      <c r="A329" s="54"/>
      <c r="B329" s="54"/>
      <c r="C329" s="82"/>
      <c r="D329" s="54"/>
      <c r="E329" s="8"/>
      <c r="F329" s="54"/>
      <c r="G329" s="83"/>
      <c r="H329" s="54"/>
      <c r="I329" s="54"/>
      <c r="J329" s="54"/>
      <c r="K329" s="54"/>
      <c r="L329" s="54"/>
      <c r="M329" s="54"/>
      <c r="N329" s="54"/>
      <c r="O329" s="54"/>
      <c r="P329" s="54"/>
    </row>
    <row r="330" spans="1:16" ht="14.25" customHeight="1">
      <c r="A330" s="63" t="s">
        <v>279</v>
      </c>
      <c r="B330" s="54" t="s">
        <v>2129</v>
      </c>
      <c r="C330" s="82"/>
      <c r="D330" s="54"/>
      <c r="E330" s="8"/>
      <c r="F330" s="54"/>
      <c r="G330" s="83"/>
      <c r="H330" s="54"/>
      <c r="I330" s="54"/>
      <c r="J330" s="54"/>
      <c r="K330" s="54"/>
      <c r="L330" s="54"/>
      <c r="M330" s="54"/>
      <c r="N330" s="54"/>
      <c r="O330" s="54"/>
      <c r="P330" s="54"/>
    </row>
    <row r="331" spans="1:16" ht="14.25" customHeight="1">
      <c r="A331" s="63"/>
      <c r="B331" s="54" t="s">
        <v>2144</v>
      </c>
      <c r="C331" s="82"/>
      <c r="D331" s="54"/>
      <c r="E331" s="8"/>
      <c r="F331" s="54"/>
      <c r="G331" s="83"/>
      <c r="H331" s="54"/>
      <c r="I331" s="54"/>
      <c r="J331" s="54"/>
      <c r="K331" s="54"/>
      <c r="L331" s="54"/>
      <c r="M331" s="54"/>
      <c r="N331" s="54"/>
      <c r="O331" s="54"/>
      <c r="P331" s="54"/>
    </row>
    <row r="332" spans="1:16" ht="14.25" customHeight="1">
      <c r="A332" s="63"/>
      <c r="B332" s="54" t="s">
        <v>2145</v>
      </c>
      <c r="C332" s="82"/>
      <c r="D332" s="54"/>
      <c r="E332" s="8"/>
      <c r="F332" s="54"/>
      <c r="G332" s="83"/>
      <c r="H332" s="54"/>
      <c r="I332" s="54"/>
      <c r="J332" s="54"/>
      <c r="K332" s="54"/>
      <c r="L332" s="54"/>
      <c r="M332" s="54"/>
      <c r="N332" s="54"/>
      <c r="O332" s="54"/>
      <c r="P332" s="54"/>
    </row>
    <row r="333" spans="1:16" ht="14.25" customHeight="1">
      <c r="A333" s="63"/>
      <c r="B333" s="54" t="s">
        <v>2146</v>
      </c>
      <c r="C333" s="82"/>
      <c r="D333" s="54"/>
      <c r="E333" s="8"/>
      <c r="F333" s="54"/>
      <c r="G333" s="83"/>
      <c r="H333" s="54"/>
      <c r="I333" s="54"/>
      <c r="J333" s="54"/>
      <c r="K333" s="54"/>
      <c r="L333" s="54"/>
      <c r="M333" s="54"/>
      <c r="N333" s="54"/>
      <c r="O333" s="54"/>
      <c r="P333" s="54"/>
    </row>
    <row r="334" spans="1:16" ht="14.25" customHeight="1">
      <c r="A334" s="63"/>
      <c r="B334" s="54" t="s">
        <v>2148</v>
      </c>
      <c r="C334" s="82"/>
      <c r="D334" s="54"/>
      <c r="E334" s="8"/>
      <c r="F334" s="54"/>
      <c r="G334" s="83"/>
      <c r="H334" s="54"/>
      <c r="I334" s="54"/>
      <c r="J334" s="54"/>
      <c r="K334" s="54"/>
      <c r="L334" s="54"/>
      <c r="M334" s="54"/>
      <c r="N334" s="54"/>
      <c r="O334" s="54"/>
      <c r="P334" s="54"/>
    </row>
    <row r="335" spans="1:16" ht="14.25" customHeight="1">
      <c r="A335" s="63"/>
      <c r="B335" s="54" t="s">
        <v>2147</v>
      </c>
      <c r="C335" s="82"/>
      <c r="D335" s="54"/>
      <c r="E335" s="8"/>
      <c r="F335" s="54"/>
      <c r="G335" s="83"/>
      <c r="H335" s="54"/>
      <c r="I335" s="54"/>
      <c r="J335" s="54"/>
      <c r="K335" s="54"/>
      <c r="L335" s="54"/>
      <c r="M335" s="54"/>
      <c r="N335" s="54"/>
      <c r="O335" s="54"/>
      <c r="P335" s="54"/>
    </row>
    <row r="336" spans="1:16" ht="14.25" customHeight="1">
      <c r="A336" s="63"/>
      <c r="B336" s="54"/>
      <c r="C336" s="82"/>
      <c r="D336" s="54"/>
      <c r="E336" s="8"/>
      <c r="F336" s="54"/>
      <c r="G336" s="83"/>
      <c r="H336" s="54"/>
      <c r="I336" s="54"/>
      <c r="J336" s="54"/>
      <c r="K336" s="54"/>
      <c r="L336" s="54"/>
      <c r="M336" s="54"/>
      <c r="N336" s="54"/>
      <c r="O336" s="54"/>
      <c r="P336" s="54"/>
    </row>
    <row r="337" spans="1:16" ht="14.25" customHeight="1">
      <c r="A337" s="54"/>
      <c r="B337" s="54" t="s">
        <v>2130</v>
      </c>
      <c r="C337" s="82"/>
      <c r="D337" s="54"/>
      <c r="E337" s="8"/>
      <c r="F337" s="54"/>
      <c r="G337" s="83"/>
      <c r="H337" s="54"/>
      <c r="I337" s="54"/>
      <c r="J337" s="54"/>
      <c r="K337" s="54"/>
      <c r="L337" s="54"/>
      <c r="M337" s="54"/>
      <c r="N337" s="54"/>
      <c r="O337" s="54"/>
      <c r="P337" s="54"/>
    </row>
    <row r="338" spans="1:16" ht="14.25" customHeight="1">
      <c r="A338" s="54"/>
      <c r="B338" s="54" t="s">
        <v>2131</v>
      </c>
      <c r="C338" s="82"/>
      <c r="D338" s="54"/>
      <c r="E338" s="8"/>
      <c r="F338" s="54"/>
      <c r="G338" s="83"/>
      <c r="H338" s="54"/>
      <c r="I338" s="54"/>
      <c r="J338" s="54"/>
      <c r="K338" s="54"/>
      <c r="L338" s="54"/>
      <c r="M338" s="54"/>
      <c r="N338" s="54"/>
      <c r="O338" s="54"/>
      <c r="P338" s="54"/>
    </row>
    <row r="339" spans="1:16" ht="14.25" customHeight="1">
      <c r="A339" s="54"/>
      <c r="B339" s="54"/>
      <c r="C339" s="82"/>
      <c r="D339" s="54"/>
      <c r="E339" s="8"/>
      <c r="F339" s="54"/>
      <c r="G339" s="83"/>
      <c r="H339" s="54"/>
      <c r="I339" s="54"/>
      <c r="J339" s="54"/>
      <c r="K339" s="54"/>
      <c r="L339" s="54"/>
      <c r="M339" s="54"/>
      <c r="N339" s="54"/>
      <c r="O339" s="54"/>
      <c r="P339" s="54"/>
    </row>
    <row r="340" spans="1:16" ht="14.25" customHeight="1">
      <c r="A340" s="63" t="s">
        <v>317</v>
      </c>
      <c r="B340" s="54" t="s">
        <v>114</v>
      </c>
      <c r="C340" s="82"/>
      <c r="D340" s="54"/>
      <c r="E340" s="8"/>
      <c r="F340" s="54"/>
      <c r="G340" s="83"/>
      <c r="H340" s="54"/>
      <c r="I340" s="54"/>
      <c r="J340" s="54"/>
      <c r="K340" s="54"/>
      <c r="L340" s="54"/>
      <c r="M340" s="54"/>
      <c r="N340" s="54"/>
      <c r="O340" s="54"/>
      <c r="P340" s="54"/>
    </row>
    <row r="341" spans="1:16" ht="14.25" customHeight="1">
      <c r="A341" s="54"/>
      <c r="B341" s="54" t="s">
        <v>998</v>
      </c>
      <c r="C341" s="82"/>
      <c r="D341" s="54"/>
      <c r="E341" s="8"/>
      <c r="F341" s="54"/>
      <c r="G341" s="83"/>
      <c r="H341" s="54"/>
      <c r="I341" s="54"/>
      <c r="J341" s="54"/>
      <c r="K341" s="54"/>
      <c r="L341" s="54"/>
      <c r="M341" s="54"/>
      <c r="N341" s="54"/>
      <c r="O341" s="54"/>
      <c r="P341" s="54"/>
    </row>
    <row r="342" spans="1:16" ht="14.25" customHeight="1">
      <c r="A342" s="54"/>
      <c r="B342" s="54" t="s">
        <v>219</v>
      </c>
      <c r="C342" s="3648"/>
      <c r="D342" s="3648"/>
      <c r="E342" s="3648"/>
      <c r="F342" s="3648"/>
      <c r="G342" s="3648"/>
      <c r="H342" s="3648"/>
      <c r="I342" s="54"/>
      <c r="J342" s="54"/>
      <c r="K342" s="54"/>
      <c r="L342" s="54"/>
      <c r="M342" s="54"/>
      <c r="N342" s="54"/>
      <c r="O342" s="54"/>
      <c r="P342" s="54"/>
    </row>
    <row r="343" spans="1:16" ht="14.25" customHeight="1">
      <c r="A343" s="54"/>
      <c r="B343" s="54" t="s">
        <v>220</v>
      </c>
      <c r="C343" s="82"/>
      <c r="D343" s="54"/>
      <c r="E343" s="8"/>
      <c r="F343" s="54"/>
      <c r="G343" s="83"/>
      <c r="H343" s="54"/>
      <c r="I343" s="54"/>
      <c r="J343" s="54"/>
      <c r="K343" s="54"/>
      <c r="L343" s="54"/>
      <c r="M343" s="54"/>
      <c r="N343" s="54"/>
      <c r="O343" s="54"/>
      <c r="P343" s="54"/>
    </row>
    <row r="344" spans="1:16" ht="14.25" customHeight="1">
      <c r="A344" s="54"/>
      <c r="B344" s="54"/>
      <c r="C344" s="82"/>
      <c r="D344" s="54"/>
      <c r="E344" s="8"/>
      <c r="F344" s="54"/>
      <c r="G344" s="83"/>
      <c r="H344" s="54"/>
      <c r="I344" s="54"/>
      <c r="J344" s="54"/>
      <c r="K344" s="54"/>
      <c r="L344" s="54"/>
      <c r="M344" s="54"/>
      <c r="N344" s="54"/>
      <c r="O344" s="54"/>
      <c r="P344" s="54"/>
    </row>
    <row r="345" spans="1:16" ht="14.25" customHeight="1">
      <c r="A345" s="4645"/>
      <c r="B345" s="4645"/>
      <c r="C345" s="4645"/>
      <c r="D345" s="4645"/>
      <c r="E345" s="4645"/>
      <c r="F345" s="4645"/>
      <c r="G345" s="4645"/>
      <c r="H345" s="4645"/>
      <c r="I345" s="4645"/>
      <c r="J345" s="54"/>
      <c r="K345" s="54"/>
      <c r="L345" s="54"/>
      <c r="M345" s="54"/>
      <c r="N345" s="54"/>
      <c r="O345" s="54"/>
      <c r="P345" s="54"/>
    </row>
    <row r="346" spans="1:16" ht="14.25" customHeight="1">
      <c r="A346" s="54"/>
      <c r="B346" s="54"/>
      <c r="C346" s="82"/>
      <c r="D346" s="54"/>
      <c r="E346" s="8"/>
      <c r="F346" s="54"/>
      <c r="G346" s="83"/>
      <c r="H346" s="54"/>
      <c r="I346" s="54"/>
      <c r="J346" s="54"/>
      <c r="K346" s="54"/>
      <c r="L346" s="54"/>
      <c r="M346" s="54"/>
      <c r="N346" s="54"/>
      <c r="O346" s="54"/>
      <c r="P346" s="54"/>
    </row>
    <row r="347" spans="1:16" ht="14.25" customHeight="1">
      <c r="A347" s="4646" t="s">
        <v>318</v>
      </c>
      <c r="B347" s="4646"/>
      <c r="C347" s="4646"/>
      <c r="D347" s="4646"/>
      <c r="E347" s="4646"/>
      <c r="F347" s="4646"/>
      <c r="G347" s="4646"/>
      <c r="H347" s="4646"/>
      <c r="I347" s="4646"/>
      <c r="J347" s="54"/>
      <c r="K347" s="54"/>
      <c r="L347" s="54"/>
      <c r="M347" s="54"/>
      <c r="N347" s="54"/>
      <c r="O347" s="54"/>
      <c r="P347" s="54"/>
    </row>
    <row r="348" spans="1:16" ht="14.25" customHeight="1">
      <c r="A348" s="4646" t="s">
        <v>943</v>
      </c>
      <c r="B348" s="4646"/>
      <c r="C348" s="4646"/>
      <c r="D348" s="4646"/>
      <c r="E348" s="4646"/>
      <c r="F348" s="4646"/>
      <c r="G348" s="4646"/>
      <c r="H348" s="4646"/>
      <c r="I348" s="4646"/>
      <c r="J348" s="54"/>
      <c r="K348" s="54"/>
      <c r="L348" s="54"/>
      <c r="M348" s="54"/>
      <c r="N348" s="54"/>
      <c r="O348" s="54"/>
      <c r="P348" s="54"/>
    </row>
    <row r="349" spans="1:16" ht="14.25" customHeight="1">
      <c r="A349" s="3650"/>
      <c r="B349" s="3648"/>
      <c r="C349" s="3648"/>
      <c r="D349" s="3648"/>
      <c r="E349" s="3648"/>
      <c r="F349" s="3648"/>
      <c r="G349" s="3648"/>
      <c r="H349" s="3648"/>
      <c r="I349" s="54"/>
      <c r="J349" s="54"/>
      <c r="K349" s="54"/>
      <c r="L349" s="54"/>
      <c r="M349" s="54"/>
      <c r="N349" s="54"/>
      <c r="O349" s="54"/>
      <c r="P349" s="54"/>
    </row>
    <row r="350" spans="1:16" ht="14.25" customHeight="1">
      <c r="A350" s="3650" t="s">
        <v>79</v>
      </c>
      <c r="B350" s="69" t="s">
        <v>944</v>
      </c>
      <c r="C350" s="3648"/>
      <c r="D350" s="3648"/>
      <c r="E350" s="3648"/>
      <c r="F350" s="3648"/>
      <c r="G350" s="3648"/>
      <c r="H350" s="3648"/>
      <c r="I350" s="54"/>
      <c r="J350" s="54"/>
      <c r="K350" s="54"/>
      <c r="L350" s="54"/>
      <c r="M350" s="54"/>
      <c r="N350" s="54"/>
      <c r="O350" s="54"/>
      <c r="P350" s="54"/>
    </row>
    <row r="351" spans="1:16" ht="14.25" customHeight="1">
      <c r="A351" s="3650"/>
      <c r="B351" s="69" t="s">
        <v>945</v>
      </c>
      <c r="C351" s="3648"/>
      <c r="D351" s="3648"/>
      <c r="E351" s="3648"/>
      <c r="F351" s="3648"/>
      <c r="G351" s="3648"/>
      <c r="H351" s="3648"/>
      <c r="I351" s="54"/>
      <c r="J351" s="54"/>
      <c r="K351" s="54"/>
      <c r="L351" s="54"/>
      <c r="M351" s="54"/>
      <c r="N351" s="54"/>
      <c r="O351" s="54"/>
      <c r="P351" s="54"/>
    </row>
    <row r="352" spans="1:16" ht="14.25" customHeight="1">
      <c r="A352" s="3650"/>
      <c r="B352" s="69" t="s">
        <v>946</v>
      </c>
      <c r="C352" s="3648"/>
      <c r="D352" s="3648"/>
      <c r="E352" s="3648"/>
      <c r="F352" s="3648"/>
      <c r="G352" s="3648"/>
      <c r="H352" s="3648"/>
      <c r="I352" s="54"/>
      <c r="J352" s="54"/>
      <c r="K352" s="54"/>
      <c r="L352" s="54"/>
      <c r="M352" s="54"/>
      <c r="N352" s="54"/>
      <c r="O352" s="54"/>
      <c r="P352" s="54"/>
    </row>
    <row r="353" spans="1:16" ht="14.25" customHeight="1">
      <c r="A353" s="3650"/>
      <c r="B353" s="69" t="s">
        <v>947</v>
      </c>
      <c r="C353" s="3648"/>
      <c r="D353" s="3648"/>
      <c r="E353" s="3648"/>
      <c r="F353" s="3648"/>
      <c r="G353" s="3648"/>
      <c r="H353" s="3648"/>
      <c r="I353" s="54"/>
      <c r="J353" s="54"/>
      <c r="K353" s="54"/>
      <c r="L353" s="54"/>
      <c r="M353" s="54"/>
      <c r="N353" s="54"/>
      <c r="O353" s="54"/>
      <c r="P353" s="54"/>
    </row>
    <row r="354" spans="1:16" ht="14.25" customHeight="1">
      <c r="A354" s="3650"/>
      <c r="B354" s="69" t="s">
        <v>948</v>
      </c>
      <c r="C354" s="3648"/>
      <c r="D354" s="3648"/>
      <c r="E354" s="3648"/>
      <c r="F354" s="3648"/>
      <c r="G354" s="3648"/>
      <c r="H354" s="3648"/>
      <c r="I354" s="54"/>
      <c r="J354" s="54"/>
      <c r="K354" s="54"/>
      <c r="L354" s="54"/>
      <c r="M354" s="54"/>
      <c r="N354" s="54"/>
      <c r="O354" s="54"/>
      <c r="P354" s="54"/>
    </row>
    <row r="355" spans="1:16" ht="14.25" customHeight="1">
      <c r="A355" s="3650"/>
      <c r="B355" s="69" t="s">
        <v>994</v>
      </c>
      <c r="C355" s="3648"/>
      <c r="D355" s="3648"/>
      <c r="E355" s="3648"/>
      <c r="F355" s="3648"/>
      <c r="G355" s="3648"/>
      <c r="H355" s="3648"/>
      <c r="I355" s="54"/>
      <c r="J355" s="54"/>
      <c r="K355" s="54"/>
      <c r="L355" s="54"/>
      <c r="M355" s="54"/>
      <c r="N355" s="54"/>
      <c r="O355" s="54"/>
      <c r="P355" s="54"/>
    </row>
    <row r="356" spans="1:16" ht="14.25" customHeight="1">
      <c r="A356" s="3650"/>
      <c r="B356" s="69"/>
      <c r="C356" s="3648"/>
      <c r="D356" s="3648"/>
      <c r="E356" s="3648"/>
      <c r="F356" s="3648"/>
      <c r="G356" s="3648"/>
      <c r="H356" s="3648"/>
      <c r="I356" s="54"/>
      <c r="J356" s="54"/>
      <c r="K356" s="54"/>
      <c r="L356" s="54"/>
      <c r="M356" s="54"/>
      <c r="N356" s="54"/>
      <c r="O356" s="54"/>
      <c r="P356" s="54"/>
    </row>
    <row r="357" spans="1:16" ht="14.25" customHeight="1">
      <c r="A357" s="3650" t="s">
        <v>112</v>
      </c>
      <c r="B357" s="69" t="s">
        <v>852</v>
      </c>
      <c r="C357" s="3648"/>
      <c r="D357" s="3648"/>
      <c r="E357" s="3648"/>
      <c r="F357" s="3648"/>
      <c r="G357" s="3648"/>
      <c r="H357" s="3648"/>
      <c r="I357" s="54"/>
      <c r="J357" s="54"/>
      <c r="K357" s="54"/>
      <c r="L357" s="54"/>
      <c r="M357" s="54"/>
      <c r="N357" s="54"/>
      <c r="O357" s="54"/>
      <c r="P357" s="54"/>
    </row>
    <row r="358" spans="1:16" ht="14.25" customHeight="1">
      <c r="A358" s="3650"/>
      <c r="B358" s="69" t="s">
        <v>949</v>
      </c>
      <c r="C358" s="3647"/>
      <c r="D358" s="3647"/>
      <c r="E358" s="3647"/>
      <c r="F358" s="3647"/>
      <c r="G358" s="3647"/>
      <c r="H358" s="3647"/>
      <c r="I358" s="54"/>
      <c r="J358" s="54"/>
      <c r="K358" s="54"/>
      <c r="L358" s="54"/>
      <c r="M358" s="54"/>
      <c r="N358" s="54"/>
      <c r="O358" s="54"/>
      <c r="P358" s="54"/>
    </row>
    <row r="359" spans="1:16" ht="14.25" customHeight="1">
      <c r="A359" s="3650"/>
      <c r="B359" s="69" t="s">
        <v>950</v>
      </c>
      <c r="C359" s="3647"/>
      <c r="D359" s="3647"/>
      <c r="E359" s="3647"/>
      <c r="F359" s="3647"/>
      <c r="G359" s="3647"/>
      <c r="H359" s="3647"/>
      <c r="I359" s="54"/>
      <c r="J359" s="54"/>
      <c r="K359" s="54"/>
      <c r="L359" s="54"/>
      <c r="M359" s="54"/>
      <c r="N359" s="54"/>
      <c r="O359" s="54"/>
      <c r="P359" s="54"/>
    </row>
    <row r="360" spans="1:16" ht="14.25" customHeight="1">
      <c r="A360" s="3650"/>
      <c r="B360" s="69" t="s">
        <v>853</v>
      </c>
      <c r="C360" s="3648"/>
      <c r="D360" s="3648"/>
      <c r="E360" s="3648"/>
      <c r="F360" s="3648"/>
      <c r="G360" s="3648"/>
      <c r="H360" s="3648"/>
      <c r="I360" s="54"/>
      <c r="J360" s="54"/>
      <c r="K360" s="54"/>
      <c r="L360" s="54"/>
      <c r="M360" s="54"/>
      <c r="N360" s="54"/>
      <c r="O360" s="54"/>
      <c r="P360" s="54"/>
    </row>
    <row r="361" spans="1:16" ht="14.25" customHeight="1">
      <c r="A361" s="3650"/>
      <c r="B361" s="69"/>
      <c r="C361" s="3648"/>
      <c r="D361" s="3648"/>
      <c r="E361" s="3648"/>
      <c r="F361" s="3648"/>
      <c r="G361" s="3648"/>
      <c r="H361" s="3648"/>
      <c r="I361" s="54"/>
      <c r="J361" s="54"/>
      <c r="K361" s="54"/>
      <c r="L361" s="54"/>
      <c r="M361" s="54"/>
      <c r="N361" s="54"/>
      <c r="O361" s="54"/>
      <c r="P361" s="54"/>
    </row>
    <row r="362" spans="1:16" ht="14.25" customHeight="1">
      <c r="A362" s="3650" t="s">
        <v>113</v>
      </c>
      <c r="B362" s="69" t="s">
        <v>951</v>
      </c>
      <c r="C362" s="3648"/>
      <c r="D362" s="3648"/>
      <c r="E362" s="3648"/>
      <c r="F362" s="3648"/>
      <c r="G362" s="3648"/>
      <c r="H362" s="3648"/>
      <c r="I362" s="54"/>
      <c r="J362" s="54"/>
      <c r="K362" s="54"/>
      <c r="L362" s="54"/>
      <c r="M362" s="54"/>
      <c r="N362" s="54"/>
      <c r="O362" s="54"/>
      <c r="P362" s="54"/>
    </row>
    <row r="363" spans="1:16" ht="14.25" customHeight="1">
      <c r="A363" s="3650"/>
      <c r="B363" s="69" t="s">
        <v>995</v>
      </c>
      <c r="C363" s="3648"/>
      <c r="D363" s="3648"/>
      <c r="E363" s="3648"/>
      <c r="F363" s="3648"/>
      <c r="G363" s="3648"/>
      <c r="H363" s="3648"/>
      <c r="I363" s="54"/>
      <c r="J363" s="54"/>
      <c r="K363" s="54"/>
      <c r="L363" s="54"/>
      <c r="M363" s="54"/>
      <c r="N363" s="54"/>
      <c r="O363" s="54"/>
      <c r="P363" s="54"/>
    </row>
    <row r="364" spans="1:16" ht="14.25" customHeight="1">
      <c r="A364" s="76"/>
      <c r="B364" s="69" t="s">
        <v>952</v>
      </c>
      <c r="C364" s="3648"/>
      <c r="D364" s="3648"/>
      <c r="E364" s="3648"/>
      <c r="F364" s="3648"/>
      <c r="G364" s="3648"/>
      <c r="H364" s="3648"/>
      <c r="I364" s="54"/>
      <c r="J364" s="54"/>
      <c r="K364" s="54"/>
      <c r="L364" s="54"/>
      <c r="M364" s="54"/>
      <c r="N364" s="54"/>
      <c r="O364" s="54"/>
      <c r="P364" s="54"/>
    </row>
    <row r="365" spans="1:16" ht="14.25" customHeight="1">
      <c r="A365" s="3650"/>
      <c r="B365" s="69"/>
      <c r="C365" s="3648"/>
      <c r="D365" s="3648"/>
      <c r="E365" s="3648"/>
      <c r="F365" s="3648"/>
      <c r="G365" s="3648"/>
      <c r="H365" s="3648"/>
      <c r="I365" s="54"/>
      <c r="J365" s="54"/>
      <c r="K365" s="54"/>
      <c r="L365" s="54"/>
      <c r="M365" s="54"/>
      <c r="N365" s="54"/>
      <c r="O365" s="54"/>
      <c r="P365" s="54"/>
    </row>
    <row r="366" spans="1:16" ht="14.25" customHeight="1">
      <c r="A366" s="3650" t="s">
        <v>279</v>
      </c>
      <c r="B366" s="69" t="str">
        <f>"Die Einrichtung stellt sicher, dass die Pflegebedürftigen bzw. ihre Angehörigen im Rahmen"</f>
        <v>Die Einrichtung stellt sicher, dass die Pflegebedürftigen bzw. ihre Angehörigen im Rahmen</v>
      </c>
      <c r="C366" s="3648"/>
      <c r="D366" s="3648"/>
      <c r="E366" s="3648"/>
      <c r="F366" s="3648"/>
      <c r="G366" s="3648"/>
      <c r="H366" s="3648"/>
      <c r="I366" s="54"/>
      <c r="J366" s="54"/>
      <c r="K366" s="54"/>
      <c r="L366" s="54"/>
      <c r="M366" s="54"/>
      <c r="N366" s="54"/>
      <c r="O366" s="54"/>
      <c r="P366" s="54"/>
    </row>
    <row r="367" spans="1:16" ht="14.25" customHeight="1">
      <c r="A367" s="3650"/>
      <c r="B367" s="69" t="str">
        <f>"der Verhandlungen und des Abschlusses des Heimvertrages nachprüfbar und deutlich darauf "</f>
        <v xml:space="preserve">der Verhandlungen und des Abschlusses des Heimvertrages nachprüfbar und deutlich darauf </v>
      </c>
      <c r="C367" s="3648"/>
      <c r="D367" s="3648"/>
      <c r="E367" s="3648"/>
      <c r="F367" s="3648"/>
      <c r="G367" s="3648"/>
      <c r="H367" s="3648"/>
      <c r="I367" s="54"/>
      <c r="J367" s="54"/>
      <c r="K367" s="54"/>
      <c r="L367" s="54"/>
      <c r="M367" s="54"/>
      <c r="N367" s="54"/>
      <c r="O367" s="54"/>
      <c r="P367" s="54"/>
    </row>
    <row r="368" spans="1:16" ht="14.25" customHeight="1">
      <c r="A368" s="3650"/>
      <c r="B368" s="69" t="s">
        <v>968</v>
      </c>
      <c r="C368" s="3648"/>
      <c r="D368" s="3648"/>
      <c r="E368" s="3648"/>
      <c r="F368" s="3648"/>
      <c r="G368" s="3648"/>
      <c r="H368" s="3648"/>
      <c r="I368" s="54"/>
      <c r="J368" s="54"/>
      <c r="K368" s="54"/>
      <c r="L368" s="54"/>
      <c r="M368" s="54"/>
      <c r="N368" s="54"/>
      <c r="O368" s="54"/>
      <c r="P368" s="54"/>
    </row>
    <row r="369" spans="1:16" ht="14.25" customHeight="1">
      <c r="A369" s="3650"/>
      <c r="B369" s="69" t="s">
        <v>967</v>
      </c>
      <c r="C369" s="3648"/>
      <c r="D369" s="3648"/>
      <c r="E369" s="3648"/>
      <c r="F369" s="3648"/>
      <c r="G369" s="3648"/>
      <c r="H369" s="3648"/>
      <c r="I369" s="54"/>
      <c r="J369" s="54"/>
      <c r="K369" s="54"/>
      <c r="L369" s="54"/>
      <c r="M369" s="54"/>
      <c r="N369" s="54"/>
      <c r="O369" s="54"/>
      <c r="P369" s="54"/>
    </row>
    <row r="370" spans="1:16" ht="14.25" customHeight="1">
      <c r="A370" s="3650"/>
      <c r="B370" s="69"/>
      <c r="C370" s="3648"/>
      <c r="D370" s="3648"/>
      <c r="E370" s="3648"/>
      <c r="F370" s="3648"/>
      <c r="G370" s="3648"/>
      <c r="H370" s="3648"/>
      <c r="I370" s="54"/>
      <c r="J370" s="54"/>
      <c r="K370" s="54"/>
      <c r="L370" s="54"/>
      <c r="M370" s="54"/>
      <c r="N370" s="54"/>
      <c r="O370" s="54"/>
      <c r="P370" s="54"/>
    </row>
    <row r="371" spans="1:16" ht="14.25" customHeight="1">
      <c r="A371" s="3650" t="s">
        <v>317</v>
      </c>
      <c r="B371" s="69" t="s">
        <v>854</v>
      </c>
      <c r="C371" s="3648"/>
      <c r="D371" s="3648"/>
      <c r="E371" s="3648"/>
      <c r="F371" s="3648"/>
      <c r="G371" s="3648"/>
      <c r="H371" s="3648"/>
      <c r="I371" s="54"/>
      <c r="J371" s="54"/>
      <c r="K371" s="54"/>
      <c r="L371" s="54"/>
      <c r="M371" s="54"/>
      <c r="N371" s="54"/>
      <c r="O371" s="54"/>
      <c r="P371" s="54"/>
    </row>
    <row r="372" spans="1:16" ht="14.25" customHeight="1">
      <c r="A372" s="3650"/>
      <c r="B372" s="69" t="str">
        <f>"Betreuung und Aktivierung für Pflegebedürftige nicht erbracht wird."</f>
        <v>Betreuung und Aktivierung für Pflegebedürftige nicht erbracht wird.</v>
      </c>
      <c r="C372" s="3648"/>
      <c r="D372" s="3648"/>
      <c r="E372" s="3648"/>
      <c r="F372" s="3648"/>
      <c r="G372" s="3648"/>
      <c r="H372" s="3648"/>
      <c r="I372" s="54"/>
      <c r="J372" s="54"/>
      <c r="K372" s="54"/>
      <c r="L372" s="54"/>
      <c r="M372" s="54"/>
      <c r="N372" s="54"/>
      <c r="O372" s="54"/>
      <c r="P372" s="54"/>
    </row>
    <row r="373" spans="1:16" ht="14.25" customHeight="1">
      <c r="A373" s="3650"/>
      <c r="B373" s="69"/>
      <c r="C373" s="3648"/>
      <c r="D373" s="3648"/>
      <c r="E373" s="3648"/>
      <c r="F373" s="3648"/>
      <c r="G373" s="3648"/>
      <c r="H373" s="3648"/>
      <c r="I373" s="54"/>
      <c r="J373" s="54"/>
      <c r="K373" s="54"/>
      <c r="L373" s="54"/>
      <c r="M373" s="54"/>
      <c r="N373" s="54"/>
      <c r="O373" s="54"/>
      <c r="P373" s="54"/>
    </row>
    <row r="374" spans="1:16" ht="14.25" customHeight="1">
      <c r="A374" s="3650" t="s">
        <v>855</v>
      </c>
      <c r="B374" s="69" t="s">
        <v>856</v>
      </c>
      <c r="C374" s="69"/>
      <c r="D374" s="69"/>
      <c r="E374" s="69"/>
      <c r="F374" s="69"/>
      <c r="G374" s="69"/>
      <c r="H374" s="69"/>
      <c r="I374" s="54"/>
      <c r="J374" s="54"/>
      <c r="K374" s="54"/>
      <c r="L374" s="54"/>
      <c r="M374" s="54"/>
      <c r="N374" s="54"/>
      <c r="O374" s="54"/>
      <c r="P374" s="54"/>
    </row>
    <row r="375" spans="1:16" ht="14.25" customHeight="1">
      <c r="A375" s="3650"/>
      <c r="B375" s="69" t="s">
        <v>953</v>
      </c>
      <c r="C375" s="3648"/>
      <c r="D375" s="3648"/>
      <c r="E375" s="3648"/>
      <c r="F375" s="3648"/>
      <c r="G375" s="3648"/>
      <c r="H375" s="3648"/>
      <c r="I375" s="54"/>
      <c r="J375" s="54"/>
      <c r="K375" s="54"/>
      <c r="L375" s="54"/>
      <c r="M375" s="54"/>
      <c r="N375" s="54"/>
      <c r="O375" s="54"/>
      <c r="P375" s="54"/>
    </row>
    <row r="376" spans="1:16" ht="14.25" customHeight="1">
      <c r="A376" s="3650"/>
      <c r="B376" s="69"/>
      <c r="C376" s="3648"/>
      <c r="D376" s="3648"/>
      <c r="E376" s="3648"/>
      <c r="F376" s="3648"/>
      <c r="G376" s="3648"/>
      <c r="H376" s="3648"/>
      <c r="I376" s="98"/>
      <c r="J376" s="98"/>
      <c r="K376" s="98"/>
      <c r="L376" s="98"/>
      <c r="M376" s="98"/>
      <c r="N376" s="98"/>
      <c r="O376" s="98"/>
      <c r="P376" s="98"/>
    </row>
    <row r="377" spans="1:16" ht="14.25" customHeight="1">
      <c r="A377" s="4647" t="e">
        <f>FIXED(Protokoll!C63,2)&amp;" Vollzeitkräfte"</f>
        <v>#VALUE!</v>
      </c>
      <c r="B377" s="4647"/>
      <c r="C377" s="4647"/>
      <c r="D377" s="4647"/>
      <c r="E377" s="4647"/>
      <c r="F377" s="4647"/>
      <c r="G377" s="4647"/>
      <c r="H377" s="4647"/>
      <c r="I377" s="4647"/>
      <c r="J377" s="98"/>
      <c r="K377" s="98"/>
      <c r="L377" s="98"/>
      <c r="M377" s="98"/>
      <c r="N377" s="98"/>
      <c r="O377" s="98"/>
      <c r="P377" s="98"/>
    </row>
    <row r="378" spans="1:16" ht="14.25" customHeight="1">
      <c r="A378" s="3650"/>
      <c r="B378" s="3653"/>
      <c r="C378" s="3648"/>
      <c r="D378" s="3648"/>
      <c r="E378" s="3648"/>
      <c r="F378" s="3648"/>
      <c r="G378" s="3648"/>
      <c r="H378" s="3648"/>
      <c r="I378" s="3649"/>
      <c r="J378" s="3649"/>
      <c r="K378" s="3649"/>
      <c r="L378" s="3649"/>
      <c r="M378" s="3649"/>
      <c r="N378" s="3649"/>
      <c r="O378" s="3649"/>
      <c r="P378" s="3649"/>
    </row>
    <row r="379" spans="1:16" ht="14.25" customHeight="1">
      <c r="A379" s="3650"/>
      <c r="B379" s="69" t="s">
        <v>857</v>
      </c>
      <c r="C379" s="3648"/>
      <c r="D379" s="3648"/>
      <c r="E379" s="3648"/>
      <c r="F379" s="3648"/>
      <c r="G379" s="3648"/>
      <c r="H379" s="3648"/>
      <c r="I379" s="3649"/>
      <c r="J379" s="3649"/>
      <c r="K379" s="3649"/>
      <c r="L379" s="3649"/>
      <c r="M379" s="3649"/>
      <c r="N379" s="3649"/>
      <c r="O379" s="3649"/>
      <c r="P379" s="3649"/>
    </row>
    <row r="380" spans="1:16" ht="14.25" customHeight="1">
      <c r="A380" s="3650"/>
      <c r="B380" s="69"/>
      <c r="C380" s="3648"/>
      <c r="D380" s="3648"/>
      <c r="E380" s="3648"/>
      <c r="F380" s="3648"/>
      <c r="G380" s="3648"/>
      <c r="H380" s="3648"/>
      <c r="I380" s="3649"/>
      <c r="J380" s="3649"/>
      <c r="K380" s="3649"/>
      <c r="L380" s="3649"/>
      <c r="M380" s="3649"/>
      <c r="N380" s="3649"/>
      <c r="O380" s="3649"/>
      <c r="P380" s="3649"/>
    </row>
    <row r="381" spans="1:16" ht="14.25" customHeight="1">
      <c r="A381" s="3650" t="s">
        <v>858</v>
      </c>
      <c r="B381" s="69" t="str">
        <f>"Bei Leistungen der vollstationären Pflege (§§ 43, 43b SGB XI) zahlt die jeweils zuständige"</f>
        <v>Bei Leistungen der vollstationären Pflege (§§ 43, 43b SGB XI) zahlt die jeweils zuständige</v>
      </c>
      <c r="C381" s="3648"/>
      <c r="D381" s="3648"/>
      <c r="E381" s="3648"/>
      <c r="F381" s="3648"/>
      <c r="G381" s="3648"/>
      <c r="H381" s="3648"/>
      <c r="I381" s="3649"/>
      <c r="J381" s="3649"/>
      <c r="K381" s="3649"/>
      <c r="L381" s="3649"/>
      <c r="M381" s="3649"/>
      <c r="N381" s="3649"/>
      <c r="O381" s="3649"/>
      <c r="P381" s="3649"/>
    </row>
    <row r="382" spans="1:16" ht="14.25" customHeight="1">
      <c r="A382" s="3650"/>
      <c r="B382" s="69" t="s">
        <v>954</v>
      </c>
      <c r="C382" s="3648"/>
      <c r="D382" s="3648"/>
      <c r="E382" s="3648"/>
      <c r="F382" s="3648"/>
      <c r="G382" s="3648"/>
      <c r="H382" s="3648"/>
      <c r="I382" s="3649"/>
      <c r="J382" s="3649"/>
      <c r="K382" s="3649"/>
      <c r="L382" s="3649"/>
      <c r="M382" s="3649"/>
      <c r="N382" s="3649"/>
      <c r="O382" s="3649"/>
      <c r="P382" s="3649"/>
    </row>
    <row r="383" spans="1:16" ht="14.25" customHeight="1">
      <c r="A383" s="3650"/>
      <c r="B383" s="69"/>
      <c r="C383" s="3648"/>
      <c r="D383" s="3648"/>
      <c r="E383" s="3648"/>
      <c r="F383" s="3648"/>
      <c r="G383" s="3648"/>
      <c r="H383" s="3648"/>
      <c r="I383" s="3649"/>
      <c r="J383" s="3649"/>
      <c r="K383" s="3649"/>
      <c r="L383" s="3649"/>
      <c r="M383" s="3649"/>
      <c r="N383" s="3649"/>
      <c r="O383" s="3649"/>
      <c r="P383" s="3649"/>
    </row>
    <row r="384" spans="1:16" ht="14.25" customHeight="1">
      <c r="A384" s="4647" t="e">
        <f>FIXED(Protokoll!D63,2)&amp;" €."</f>
        <v>#VALUE!</v>
      </c>
      <c r="B384" s="4647"/>
      <c r="C384" s="4647"/>
      <c r="D384" s="4647"/>
      <c r="E384" s="4647"/>
      <c r="F384" s="4647"/>
      <c r="G384" s="4647"/>
      <c r="H384" s="4647"/>
      <c r="I384" s="4647"/>
      <c r="J384" s="54"/>
      <c r="K384" s="54"/>
      <c r="L384" s="54"/>
      <c r="M384" s="54"/>
      <c r="N384" s="54"/>
      <c r="O384" s="54"/>
      <c r="P384" s="54"/>
    </row>
    <row r="385" spans="1:16" ht="14.25" customHeight="1">
      <c r="A385" s="3650"/>
      <c r="B385" s="3653"/>
      <c r="C385" s="3648"/>
      <c r="D385" s="3648"/>
      <c r="E385" s="3648"/>
      <c r="F385" s="3648"/>
      <c r="G385" s="3648"/>
      <c r="H385" s="3648"/>
      <c r="I385" s="54"/>
      <c r="J385" s="54"/>
      <c r="K385" s="54"/>
      <c r="L385" s="54"/>
      <c r="M385" s="54"/>
      <c r="N385" s="54"/>
      <c r="O385" s="54"/>
      <c r="P385" s="54"/>
    </row>
    <row r="386" spans="1:16" ht="14.25" customHeight="1">
      <c r="A386" s="3650"/>
      <c r="B386" s="69" t="s">
        <v>859</v>
      </c>
      <c r="C386" s="3653"/>
      <c r="D386" s="3653"/>
      <c r="E386" s="3653"/>
      <c r="F386" s="3653"/>
      <c r="G386" s="3653"/>
      <c r="H386" s="3653"/>
      <c r="I386" s="54"/>
      <c r="J386" s="54"/>
      <c r="K386" s="54"/>
      <c r="L386" s="54"/>
      <c r="M386" s="54"/>
      <c r="N386" s="54"/>
      <c r="O386" s="54"/>
      <c r="P386" s="54"/>
    </row>
    <row r="387" spans="1:16" ht="14.25" customHeight="1">
      <c r="A387" s="3650"/>
      <c r="B387" s="69" t="s">
        <v>860</v>
      </c>
      <c r="C387" s="3653"/>
      <c r="D387" s="3653"/>
      <c r="E387" s="3653"/>
      <c r="F387" s="3653"/>
      <c r="G387" s="3653"/>
      <c r="H387" s="3653"/>
      <c r="I387" s="54"/>
      <c r="J387" s="54"/>
      <c r="K387" s="54"/>
      <c r="L387" s="54"/>
      <c r="M387" s="54"/>
      <c r="N387" s="54"/>
      <c r="O387" s="54"/>
      <c r="P387" s="54"/>
    </row>
    <row r="388" spans="1:16" ht="14.25" customHeight="1">
      <c r="A388" s="3650"/>
      <c r="B388" s="69" t="s">
        <v>861</v>
      </c>
      <c r="C388" s="3648"/>
      <c r="D388" s="3648"/>
      <c r="E388" s="3648"/>
      <c r="F388" s="3648"/>
      <c r="G388" s="3648"/>
      <c r="H388" s="3648"/>
      <c r="I388" s="54"/>
      <c r="J388" s="54"/>
      <c r="K388" s="54"/>
      <c r="L388" s="54"/>
      <c r="M388" s="54"/>
      <c r="N388" s="54"/>
      <c r="O388" s="54"/>
      <c r="P388" s="54"/>
    </row>
    <row r="389" spans="1:16" ht="14.25" customHeight="1">
      <c r="A389" s="3650"/>
      <c r="B389" s="69"/>
      <c r="C389" s="3648"/>
      <c r="D389" s="3648"/>
      <c r="E389" s="3648"/>
      <c r="F389" s="3648"/>
      <c r="G389" s="3648"/>
      <c r="H389" s="3648"/>
      <c r="I389" s="54"/>
      <c r="J389" s="54"/>
      <c r="K389" s="54"/>
      <c r="L389" s="54"/>
      <c r="M389" s="54"/>
      <c r="N389" s="54"/>
      <c r="O389" s="54"/>
      <c r="P389" s="54"/>
    </row>
    <row r="390" spans="1:16" ht="14.25" customHeight="1">
      <c r="A390" s="3650"/>
      <c r="B390" s="69" t="s">
        <v>955</v>
      </c>
      <c r="C390" s="3648"/>
      <c r="D390" s="3648"/>
      <c r="E390" s="3648"/>
      <c r="F390" s="3648"/>
      <c r="G390" s="3648"/>
      <c r="H390" s="3648"/>
      <c r="I390" s="119"/>
      <c r="J390" s="54"/>
      <c r="K390" s="54"/>
      <c r="L390" s="54"/>
      <c r="M390" s="54"/>
      <c r="N390" s="54"/>
      <c r="O390" s="54"/>
      <c r="P390" s="54"/>
    </row>
    <row r="391" spans="1:16" ht="14.25" customHeight="1">
      <c r="A391" s="3650"/>
      <c r="B391" s="69" t="s">
        <v>970</v>
      </c>
      <c r="C391" s="3648"/>
      <c r="D391" s="3648"/>
      <c r="E391" s="3648"/>
      <c r="F391" s="3648"/>
      <c r="G391" s="3648"/>
      <c r="H391" s="3648"/>
      <c r="I391" s="124"/>
      <c r="J391" s="54"/>
      <c r="K391" s="54"/>
      <c r="L391" s="54"/>
      <c r="M391" s="54"/>
      <c r="N391" s="54"/>
      <c r="O391" s="54"/>
      <c r="P391" s="54"/>
    </row>
    <row r="392" spans="1:16" ht="14.25" customHeight="1">
      <c r="A392" s="3650"/>
      <c r="B392" s="69" t="s">
        <v>956</v>
      </c>
      <c r="C392" s="3648"/>
      <c r="D392" s="3648"/>
      <c r="E392" s="3648"/>
      <c r="F392" s="3648"/>
      <c r="G392" s="3648"/>
      <c r="H392" s="3648"/>
      <c r="I392" s="124"/>
      <c r="J392" s="54"/>
      <c r="K392" s="54"/>
      <c r="L392" s="54"/>
      <c r="M392" s="54"/>
      <c r="N392" s="54"/>
      <c r="O392" s="54"/>
      <c r="P392" s="54"/>
    </row>
    <row r="393" spans="1:16" ht="14.25" customHeight="1">
      <c r="A393" s="3650"/>
      <c r="B393" s="69" t="s">
        <v>957</v>
      </c>
      <c r="C393" s="3653"/>
      <c r="D393" s="3653"/>
      <c r="E393" s="3653"/>
      <c r="F393" s="3653"/>
      <c r="G393" s="3653"/>
      <c r="H393" s="3653"/>
      <c r="I393" s="124"/>
      <c r="J393" s="54"/>
      <c r="K393" s="54"/>
      <c r="L393" s="54"/>
      <c r="M393" s="54"/>
      <c r="N393" s="54"/>
      <c r="O393" s="54"/>
      <c r="P393" s="54"/>
    </row>
    <row r="394" spans="1:16" ht="14.25" customHeight="1">
      <c r="A394" s="3650"/>
      <c r="B394" s="69" t="s">
        <v>958</v>
      </c>
      <c r="C394" s="3653"/>
      <c r="D394" s="3653"/>
      <c r="E394" s="3653"/>
      <c r="F394" s="3653"/>
      <c r="G394" s="3653"/>
      <c r="H394" s="3653"/>
      <c r="I394" s="124"/>
      <c r="J394" s="54"/>
      <c r="K394" s="54"/>
      <c r="L394" s="54"/>
      <c r="M394" s="54"/>
      <c r="N394" s="54"/>
      <c r="O394" s="54"/>
      <c r="P394" s="54"/>
    </row>
    <row r="395" spans="1:16" ht="14.25" customHeight="1">
      <c r="A395" s="3650"/>
      <c r="B395" s="69" t="s">
        <v>959</v>
      </c>
      <c r="C395" s="3653"/>
      <c r="D395" s="3653"/>
      <c r="E395" s="3653"/>
      <c r="F395" s="3653"/>
      <c r="G395" s="3653"/>
      <c r="H395" s="3653"/>
      <c r="I395" s="124"/>
      <c r="J395" s="54"/>
      <c r="K395" s="54"/>
      <c r="L395" s="54"/>
      <c r="M395" s="54"/>
      <c r="N395" s="54"/>
      <c r="O395" s="54"/>
      <c r="P395" s="54"/>
    </row>
    <row r="396" spans="1:16" ht="14.25" customHeight="1">
      <c r="A396" s="3650"/>
      <c r="B396" s="69" t="s">
        <v>960</v>
      </c>
      <c r="C396" s="3653"/>
      <c r="D396" s="3653"/>
      <c r="E396" s="3653"/>
      <c r="F396" s="3653"/>
      <c r="G396" s="3653"/>
      <c r="H396" s="3653"/>
      <c r="I396" s="124"/>
      <c r="J396" s="54"/>
      <c r="K396" s="54"/>
      <c r="L396" s="54"/>
      <c r="M396" s="54"/>
      <c r="N396" s="54"/>
      <c r="O396" s="54"/>
      <c r="P396" s="54"/>
    </row>
    <row r="397" spans="1:16" ht="14.25" customHeight="1">
      <c r="A397" s="3650"/>
      <c r="B397" s="69" t="s">
        <v>961</v>
      </c>
      <c r="C397" s="3653"/>
      <c r="D397" s="3653"/>
      <c r="E397" s="3653"/>
      <c r="F397" s="3653"/>
      <c r="G397" s="3653"/>
      <c r="H397" s="3653"/>
      <c r="I397" s="124"/>
      <c r="J397" s="54"/>
      <c r="K397" s="54"/>
      <c r="L397" s="54"/>
      <c r="M397" s="54"/>
      <c r="N397" s="54"/>
      <c r="O397" s="54"/>
      <c r="P397" s="54"/>
    </row>
    <row r="398" spans="1:16" ht="14.25" customHeight="1">
      <c r="A398" s="4645" t="s">
        <v>1223</v>
      </c>
      <c r="B398" s="4645"/>
      <c r="C398" s="4645"/>
      <c r="D398" s="4645"/>
      <c r="E398" s="4645"/>
      <c r="F398" s="4645"/>
      <c r="G398" s="4645"/>
      <c r="H398" s="4645"/>
      <c r="I398" s="4645"/>
      <c r="J398" s="54"/>
      <c r="K398" s="54"/>
      <c r="L398" s="54"/>
      <c r="M398" s="54"/>
      <c r="N398" s="54"/>
      <c r="O398" s="54"/>
      <c r="P398" s="54"/>
    </row>
    <row r="399" spans="1:16" ht="14.25" customHeight="1">
      <c r="A399" s="3658"/>
      <c r="B399" s="69"/>
      <c r="C399" s="3657"/>
      <c r="D399" s="3657"/>
      <c r="E399" s="3657"/>
      <c r="F399" s="3657"/>
      <c r="G399" s="3657"/>
      <c r="H399" s="3657"/>
      <c r="I399" s="124"/>
      <c r="J399" s="54"/>
      <c r="K399" s="54"/>
      <c r="L399" s="54"/>
      <c r="M399" s="54"/>
      <c r="N399" s="54"/>
      <c r="O399" s="54"/>
      <c r="P399" s="54"/>
    </row>
    <row r="400" spans="1:16" ht="14.25" customHeight="1" outlineLevel="1">
      <c r="A400" s="3650"/>
      <c r="B400" s="69"/>
      <c r="C400" s="3653"/>
      <c r="D400" s="3653"/>
      <c r="E400" s="3653"/>
      <c r="F400" s="3653"/>
      <c r="G400" s="3653"/>
      <c r="H400" s="3653"/>
      <c r="I400" s="124"/>
      <c r="J400" s="54"/>
      <c r="K400" s="54"/>
      <c r="L400" s="54"/>
      <c r="M400" s="54"/>
      <c r="N400" s="54"/>
      <c r="O400" s="54"/>
      <c r="P400" s="54"/>
    </row>
    <row r="401" spans="1:16" ht="14.25" customHeight="1" outlineLevel="1">
      <c r="A401" s="3650" t="s">
        <v>862</v>
      </c>
      <c r="B401" s="69" t="s">
        <v>962</v>
      </c>
      <c r="C401" s="3653"/>
      <c r="D401" s="3653"/>
      <c r="E401" s="3653"/>
      <c r="F401" s="3653"/>
      <c r="G401" s="3653"/>
      <c r="H401" s="3653"/>
      <c r="I401" s="124"/>
      <c r="J401" s="54"/>
      <c r="K401" s="54"/>
      <c r="L401" s="54"/>
      <c r="M401" s="54"/>
      <c r="N401" s="54"/>
      <c r="O401" s="54"/>
      <c r="P401" s="54"/>
    </row>
    <row r="402" spans="1:16" ht="14.25" customHeight="1" outlineLevel="1">
      <c r="A402" s="3650"/>
      <c r="B402" s="69" t="s">
        <v>969</v>
      </c>
      <c r="C402" s="3653"/>
      <c r="D402" s="3653"/>
      <c r="E402" s="3653"/>
      <c r="F402" s="3653"/>
      <c r="G402" s="3653"/>
      <c r="H402" s="3653"/>
      <c r="I402" s="54"/>
      <c r="J402" s="54"/>
      <c r="K402" s="54"/>
      <c r="L402" s="54"/>
      <c r="M402" s="54"/>
      <c r="N402" s="54"/>
      <c r="O402" s="54"/>
      <c r="P402" s="54"/>
    </row>
    <row r="403" spans="1:16" ht="14.25" customHeight="1" outlineLevel="1">
      <c r="A403" s="3650"/>
      <c r="B403" s="69"/>
      <c r="C403" s="3653"/>
      <c r="D403" s="3653"/>
      <c r="E403" s="3653"/>
      <c r="F403" s="3653"/>
      <c r="G403" s="3653"/>
      <c r="H403" s="3653"/>
      <c r="I403" s="54"/>
      <c r="J403" s="54"/>
      <c r="K403" s="54"/>
      <c r="L403" s="54"/>
      <c r="M403" s="54"/>
      <c r="N403" s="54"/>
      <c r="O403" s="54"/>
      <c r="P403" s="54"/>
    </row>
    <row r="404" spans="1:16" ht="14.25" customHeight="1" outlineLevel="1">
      <c r="A404" s="3650"/>
      <c r="B404" s="119"/>
      <c r="C404" s="447" t="s">
        <v>1258</v>
      </c>
      <c r="D404" s="448">
        <v>831912</v>
      </c>
      <c r="E404" s="119"/>
      <c r="F404" s="119" t="e">
        <f>FIXED(Protokoll!E63,2)&amp;" €."</f>
        <v>#VALUE!</v>
      </c>
      <c r="G404" s="119"/>
      <c r="H404" s="119"/>
      <c r="I404" s="54"/>
      <c r="J404" s="54"/>
      <c r="K404" s="54"/>
      <c r="L404" s="54"/>
      <c r="M404" s="54"/>
      <c r="N404" s="54"/>
      <c r="O404" s="54"/>
      <c r="P404" s="54"/>
    </row>
    <row r="405" spans="1:16" ht="14.25" customHeight="1" outlineLevel="1">
      <c r="A405" s="3650"/>
      <c r="B405" s="124"/>
      <c r="C405" s="124"/>
      <c r="D405" s="124"/>
      <c r="E405" s="124"/>
      <c r="F405" s="124"/>
      <c r="G405" s="124"/>
      <c r="H405" s="124"/>
      <c r="I405" s="54"/>
      <c r="J405" s="54"/>
      <c r="K405" s="54"/>
      <c r="L405" s="54"/>
      <c r="M405" s="54"/>
      <c r="N405" s="54"/>
      <c r="O405" s="54"/>
      <c r="P405" s="54"/>
    </row>
    <row r="406" spans="1:16" ht="14.25" customHeight="1" outlineLevel="1">
      <c r="A406" s="3650"/>
      <c r="B406" s="118" t="s">
        <v>963</v>
      </c>
      <c r="C406" s="124"/>
      <c r="D406" s="124"/>
      <c r="E406" s="124"/>
      <c r="F406" s="124"/>
      <c r="G406" s="124"/>
      <c r="H406" s="124"/>
      <c r="I406" s="54"/>
      <c r="J406" s="54"/>
      <c r="K406" s="54"/>
      <c r="L406" s="54"/>
      <c r="M406" s="54"/>
      <c r="N406" s="54"/>
      <c r="O406" s="54"/>
      <c r="P406" s="54"/>
    </row>
    <row r="407" spans="1:16" ht="14.25" customHeight="1" outlineLevel="1">
      <c r="A407" s="3650"/>
      <c r="B407" s="118" t="s">
        <v>977</v>
      </c>
      <c r="C407" s="124"/>
      <c r="D407" s="124"/>
      <c r="E407" s="124"/>
      <c r="F407" s="124"/>
      <c r="G407" s="124"/>
      <c r="H407" s="124"/>
      <c r="I407" s="54"/>
      <c r="J407" s="54"/>
      <c r="K407" s="54"/>
      <c r="L407" s="54"/>
      <c r="M407" s="54"/>
      <c r="N407" s="54"/>
      <c r="O407" s="54"/>
      <c r="P407" s="54"/>
    </row>
    <row r="408" spans="1:16" ht="14.25" customHeight="1" outlineLevel="1">
      <c r="A408" s="3650"/>
      <c r="B408" s="118" t="s">
        <v>964</v>
      </c>
      <c r="C408" s="124"/>
      <c r="D408" s="124"/>
      <c r="E408" s="124"/>
      <c r="F408" s="124"/>
      <c r="G408" s="124"/>
      <c r="H408" s="124"/>
      <c r="I408" s="54"/>
      <c r="J408" s="54"/>
      <c r="K408" s="54"/>
      <c r="L408" s="54"/>
      <c r="M408" s="54"/>
      <c r="N408" s="54"/>
      <c r="O408" s="54"/>
      <c r="P408" s="54"/>
    </row>
    <row r="409" spans="1:16" ht="14.25" customHeight="1" outlineLevel="1">
      <c r="A409" s="3650"/>
      <c r="B409" s="118"/>
      <c r="C409" s="124"/>
      <c r="D409" s="124"/>
      <c r="E409" s="124"/>
      <c r="F409" s="124"/>
      <c r="G409" s="124"/>
      <c r="H409" s="124"/>
      <c r="I409" s="54"/>
      <c r="J409" s="54"/>
      <c r="K409" s="54"/>
      <c r="L409" s="54"/>
      <c r="M409" s="54"/>
      <c r="N409" s="54"/>
      <c r="O409" s="54"/>
      <c r="P409" s="54"/>
    </row>
    <row r="410" spans="1:16" ht="14.25" customHeight="1" outlineLevel="1">
      <c r="A410" s="3650"/>
      <c r="B410" s="118" t="s">
        <v>965</v>
      </c>
      <c r="C410" s="124"/>
      <c r="D410" s="124"/>
      <c r="E410" s="124"/>
      <c r="F410" s="124"/>
      <c r="G410" s="124"/>
      <c r="H410" s="124"/>
      <c r="I410" s="54"/>
      <c r="J410" s="54"/>
      <c r="K410" s="54"/>
      <c r="L410" s="54"/>
      <c r="M410" s="54"/>
      <c r="N410" s="54"/>
      <c r="O410" s="54"/>
      <c r="P410" s="54"/>
    </row>
    <row r="411" spans="1:16" ht="14.25" customHeight="1" outlineLevel="1">
      <c r="A411" s="3650"/>
      <c r="B411" s="118" t="s">
        <v>1024</v>
      </c>
      <c r="C411" s="124"/>
      <c r="D411" s="124"/>
      <c r="E411" s="124"/>
      <c r="F411" s="124"/>
      <c r="G411" s="124"/>
      <c r="H411" s="124"/>
      <c r="I411" s="54"/>
      <c r="J411" s="54"/>
      <c r="K411" s="54"/>
      <c r="L411" s="54"/>
      <c r="M411" s="54"/>
      <c r="N411" s="54"/>
      <c r="O411" s="54"/>
      <c r="P411" s="54"/>
    </row>
    <row r="412" spans="1:16" ht="14.25" customHeight="1" outlineLevel="1">
      <c r="A412" s="3650"/>
      <c r="B412" s="118" t="s">
        <v>1255</v>
      </c>
      <c r="C412" s="124"/>
      <c r="D412" s="124"/>
      <c r="E412" s="124"/>
      <c r="F412" s="124"/>
      <c r="G412" s="124"/>
      <c r="H412" s="124"/>
      <c r="I412" s="54"/>
      <c r="J412" s="54"/>
      <c r="K412" s="54"/>
      <c r="L412" s="54"/>
      <c r="M412" s="54"/>
      <c r="N412" s="54"/>
      <c r="O412" s="54"/>
      <c r="P412" s="54"/>
    </row>
    <row r="413" spans="1:16" ht="14.25" customHeight="1">
      <c r="A413" s="3650"/>
      <c r="B413" s="69"/>
      <c r="C413" s="3653"/>
      <c r="D413" s="3653"/>
      <c r="E413" s="3653"/>
      <c r="F413" s="3653"/>
      <c r="G413" s="3653"/>
      <c r="H413" s="3653"/>
      <c r="I413" s="54"/>
      <c r="J413" s="54"/>
      <c r="K413" s="54"/>
      <c r="L413" s="54"/>
      <c r="M413" s="54"/>
      <c r="N413" s="54"/>
      <c r="O413" s="54"/>
      <c r="P413" s="54"/>
    </row>
    <row r="414" spans="1:16" ht="14.25" customHeight="1">
      <c r="A414" s="3650" t="str">
        <f>IF('Copy &amp; Paste'!H12="","8.","9.")</f>
        <v>8.</v>
      </c>
      <c r="B414" s="69" t="s">
        <v>863</v>
      </c>
      <c r="C414" s="3648"/>
      <c r="D414" s="3648"/>
      <c r="E414" s="3648"/>
      <c r="F414" s="3648"/>
      <c r="G414" s="3648"/>
      <c r="H414" s="3648"/>
      <c r="I414" s="54"/>
      <c r="J414" s="54"/>
      <c r="K414" s="54"/>
      <c r="L414" s="54"/>
      <c r="M414" s="54"/>
      <c r="N414" s="54"/>
      <c r="O414" s="54"/>
      <c r="P414" s="54"/>
    </row>
    <row r="415" spans="1:16" ht="14.25" customHeight="1">
      <c r="A415" s="3650"/>
      <c r="B415" s="69" t="s">
        <v>864</v>
      </c>
      <c r="C415" s="3648"/>
      <c r="D415" s="3648"/>
      <c r="E415" s="3648"/>
      <c r="F415" s="3648"/>
      <c r="G415" s="3648"/>
      <c r="H415" s="3648"/>
      <c r="I415" s="54"/>
      <c r="J415" s="54"/>
      <c r="K415" s="54"/>
      <c r="L415" s="54"/>
      <c r="M415" s="54"/>
      <c r="N415" s="54"/>
      <c r="O415" s="54"/>
      <c r="P415" s="54"/>
    </row>
    <row r="416" spans="1:16" ht="14.25" customHeight="1">
      <c r="A416" s="3650"/>
      <c r="B416" s="69"/>
      <c r="C416" s="3648"/>
      <c r="D416" s="3648"/>
      <c r="E416" s="3648"/>
      <c r="F416" s="3648"/>
      <c r="G416" s="3648"/>
      <c r="H416" s="3648"/>
      <c r="I416" s="54"/>
      <c r="J416" s="54"/>
      <c r="K416" s="54"/>
      <c r="L416" s="54"/>
      <c r="M416" s="54"/>
      <c r="N416" s="54"/>
      <c r="O416" s="54"/>
      <c r="P416" s="54"/>
    </row>
    <row r="417" spans="1:16" ht="14.25" customHeight="1">
      <c r="A417" s="3650"/>
      <c r="B417" s="69" t="s">
        <v>865</v>
      </c>
      <c r="C417" s="3648"/>
      <c r="D417" s="3648"/>
      <c r="E417" s="3648"/>
      <c r="F417" s="3648"/>
      <c r="G417" s="3648"/>
      <c r="H417" s="3648"/>
      <c r="I417" s="54"/>
      <c r="J417" s="54"/>
      <c r="K417" s="54"/>
      <c r="L417" s="54"/>
      <c r="M417" s="54"/>
      <c r="N417" s="54"/>
      <c r="O417" s="54"/>
      <c r="P417" s="54"/>
    </row>
    <row r="418" spans="1:16" ht="14.25" customHeight="1">
      <c r="A418" s="3650"/>
      <c r="B418" s="69"/>
      <c r="C418" s="3648"/>
      <c r="D418" s="3648"/>
      <c r="E418" s="3648"/>
      <c r="F418" s="3648"/>
      <c r="G418" s="3648"/>
      <c r="H418" s="3648"/>
      <c r="I418" s="54"/>
      <c r="J418" s="89"/>
      <c r="K418" s="54"/>
      <c r="L418" s="54"/>
      <c r="M418" s="54"/>
      <c r="N418" s="54"/>
      <c r="O418" s="54"/>
      <c r="P418" s="54"/>
    </row>
    <row r="419" spans="1:16" ht="14.25">
      <c r="A419" s="3650" t="str">
        <f>IF('Copy &amp; Paste'!H12="","9.","10.")</f>
        <v>9.</v>
      </c>
      <c r="B419" s="69" t="s">
        <v>866</v>
      </c>
      <c r="C419" s="3648"/>
      <c r="D419" s="3648"/>
      <c r="E419" s="3648"/>
      <c r="F419" s="3648"/>
      <c r="G419" s="3648"/>
      <c r="H419" s="3648"/>
      <c r="I419" s="54"/>
      <c r="J419" s="54"/>
      <c r="K419" s="54"/>
      <c r="L419" s="54"/>
      <c r="M419" s="54"/>
      <c r="N419" s="54"/>
      <c r="O419" s="54"/>
      <c r="P419" s="54"/>
    </row>
    <row r="420" spans="1:16" ht="14.25" customHeight="1">
      <c r="A420" s="3650"/>
      <c r="B420" s="69" t="s">
        <v>867</v>
      </c>
      <c r="C420" s="3648"/>
      <c r="D420" s="3648"/>
      <c r="E420" s="3648"/>
      <c r="F420" s="3648"/>
      <c r="G420" s="3648"/>
      <c r="H420" s="3648"/>
      <c r="I420" s="54"/>
      <c r="J420" s="54"/>
      <c r="K420" s="54"/>
      <c r="L420" s="54"/>
      <c r="M420" s="54"/>
      <c r="N420" s="54"/>
      <c r="O420" s="54"/>
      <c r="P420" s="54"/>
    </row>
    <row r="421" spans="1:16" ht="14.25" customHeight="1">
      <c r="A421" s="3650"/>
      <c r="B421" s="69" t="s">
        <v>868</v>
      </c>
      <c r="C421" s="3648"/>
      <c r="D421" s="3648"/>
      <c r="E421" s="3648"/>
      <c r="F421" s="3648"/>
      <c r="G421" s="3648"/>
      <c r="H421" s="3648"/>
      <c r="I421" s="54"/>
      <c r="J421" s="54"/>
      <c r="K421" s="54"/>
      <c r="L421" s="54"/>
      <c r="M421" s="54"/>
      <c r="N421" s="54"/>
      <c r="O421" s="54"/>
      <c r="P421" s="54"/>
    </row>
    <row r="422" spans="1:16" ht="14.25">
      <c r="A422" s="3650"/>
      <c r="B422" s="69" t="s">
        <v>869</v>
      </c>
      <c r="C422" s="3648"/>
      <c r="D422" s="3648"/>
      <c r="E422" s="3648"/>
      <c r="F422" s="3648"/>
      <c r="G422" s="3648"/>
      <c r="H422" s="3648"/>
      <c r="I422" s="54"/>
      <c r="J422" s="54"/>
      <c r="K422" s="54"/>
      <c r="L422" s="54"/>
      <c r="M422" s="54"/>
      <c r="N422" s="54"/>
      <c r="O422" s="54"/>
      <c r="P422" s="54"/>
    </row>
    <row r="423" spans="1:16" ht="14.25" customHeight="1">
      <c r="A423" s="3650"/>
      <c r="B423" s="69"/>
      <c r="C423" s="3648"/>
      <c r="D423" s="3648"/>
      <c r="E423" s="3648"/>
      <c r="F423" s="3648"/>
      <c r="G423" s="3648"/>
      <c r="H423" s="3648"/>
      <c r="I423" s="54"/>
      <c r="J423" s="54"/>
      <c r="K423" s="54"/>
      <c r="L423" s="54"/>
      <c r="M423" s="54"/>
      <c r="N423" s="54"/>
      <c r="O423" s="54"/>
      <c r="P423" s="54"/>
    </row>
    <row r="424" spans="1:16" ht="14.25" customHeight="1">
      <c r="A424" s="3650" t="str">
        <f>IF('Copy &amp; Paste'!H12="","10.","11.")</f>
        <v>10.</v>
      </c>
      <c r="B424" s="69" t="s">
        <v>870</v>
      </c>
      <c r="C424" s="3648"/>
      <c r="D424" s="3648"/>
      <c r="E424" s="3648"/>
      <c r="F424" s="3648"/>
      <c r="G424" s="3648"/>
      <c r="H424" s="3648"/>
      <c r="I424" s="54"/>
      <c r="J424" s="54"/>
      <c r="K424" s="54"/>
      <c r="L424" s="54"/>
      <c r="M424" s="54"/>
      <c r="N424" s="54"/>
      <c r="O424" s="54"/>
      <c r="P424" s="54"/>
    </row>
    <row r="425" spans="1:16" ht="14.25" customHeight="1">
      <c r="A425" s="3650"/>
      <c r="B425" s="69" t="s">
        <v>871</v>
      </c>
      <c r="C425" s="3648"/>
      <c r="D425" s="3648"/>
      <c r="E425" s="3648"/>
      <c r="F425" s="3648"/>
      <c r="G425" s="3648"/>
      <c r="H425" s="3648"/>
      <c r="I425" s="54"/>
      <c r="J425" s="54"/>
      <c r="K425" s="54"/>
      <c r="L425" s="54"/>
      <c r="M425" s="54"/>
      <c r="N425" s="54"/>
      <c r="O425" s="54"/>
      <c r="P425" s="54"/>
    </row>
    <row r="426" spans="1:16" ht="14.25" customHeight="1">
      <c r="A426" s="3650"/>
      <c r="B426" s="69" t="s">
        <v>872</v>
      </c>
      <c r="C426" s="3648"/>
      <c r="D426" s="3648"/>
      <c r="E426" s="3648"/>
      <c r="F426" s="3648"/>
      <c r="G426" s="3648"/>
      <c r="H426" s="3648"/>
      <c r="I426" s="54"/>
      <c r="J426" s="54"/>
      <c r="K426" s="54"/>
      <c r="L426" s="54"/>
      <c r="M426" s="54"/>
      <c r="N426" s="54"/>
      <c r="O426" s="54"/>
      <c r="P426" s="54"/>
    </row>
    <row r="427" spans="1:16" ht="14.25" customHeight="1">
      <c r="A427" s="3650"/>
      <c r="B427" s="69" t="s">
        <v>873</v>
      </c>
      <c r="C427" s="3648"/>
      <c r="D427" s="3648"/>
      <c r="E427" s="3648"/>
      <c r="F427" s="3648"/>
      <c r="G427" s="3648"/>
      <c r="H427" s="3648"/>
      <c r="I427" s="54"/>
      <c r="J427" s="54"/>
      <c r="K427" s="54"/>
      <c r="L427" s="54"/>
      <c r="M427" s="54"/>
      <c r="N427" s="54"/>
      <c r="O427" s="54"/>
      <c r="P427" s="54"/>
    </row>
    <row r="428" spans="1:16" ht="14.25" customHeight="1">
      <c r="A428" s="3650"/>
      <c r="B428" s="69"/>
      <c r="C428" s="3648"/>
      <c r="D428" s="3648"/>
      <c r="E428" s="3648"/>
      <c r="F428" s="3648"/>
      <c r="G428" s="3648"/>
      <c r="H428" s="3648"/>
      <c r="I428" s="54"/>
      <c r="J428" s="54"/>
      <c r="K428" s="54"/>
      <c r="L428" s="54"/>
      <c r="M428" s="54"/>
      <c r="N428" s="54"/>
      <c r="O428" s="54"/>
      <c r="P428" s="54"/>
    </row>
    <row r="429" spans="1:16" ht="14.25" customHeight="1">
      <c r="A429" s="4641" t="s">
        <v>319</v>
      </c>
      <c r="B429" s="4641"/>
      <c r="C429" s="4641"/>
      <c r="D429" s="4641"/>
      <c r="E429" s="4641"/>
      <c r="F429" s="4641"/>
      <c r="G429" s="4641"/>
      <c r="H429" s="4641"/>
      <c r="I429" s="4641"/>
      <c r="J429" s="54"/>
      <c r="K429" s="54"/>
      <c r="L429" s="54"/>
      <c r="M429" s="54"/>
      <c r="N429" s="54"/>
      <c r="O429" s="54"/>
      <c r="P429" s="54"/>
    </row>
    <row r="430" spans="1:16" ht="14.25" customHeight="1">
      <c r="A430" s="4641" t="s">
        <v>116</v>
      </c>
      <c r="B430" s="4641"/>
      <c r="C430" s="4641"/>
      <c r="D430" s="4641"/>
      <c r="E430" s="4641"/>
      <c r="F430" s="4641"/>
      <c r="G430" s="4641"/>
      <c r="H430" s="4641"/>
      <c r="I430" s="4641"/>
      <c r="J430" s="54"/>
      <c r="K430" s="54"/>
      <c r="L430" s="54"/>
      <c r="M430" s="54"/>
      <c r="N430" s="54"/>
      <c r="O430" s="54"/>
      <c r="P430" s="54"/>
    </row>
    <row r="431" spans="1:16" ht="14.25" customHeight="1">
      <c r="A431" s="54"/>
      <c r="B431" s="54"/>
      <c r="C431" s="3648"/>
      <c r="D431" s="3648"/>
      <c r="E431" s="3648"/>
      <c r="F431" s="3648"/>
      <c r="G431" s="3648"/>
      <c r="H431" s="3648"/>
      <c r="I431" s="54"/>
      <c r="J431" s="54"/>
      <c r="K431" s="54"/>
      <c r="L431" s="54"/>
      <c r="M431" s="54"/>
      <c r="N431" s="54"/>
      <c r="O431" s="54"/>
      <c r="P431" s="54"/>
    </row>
    <row r="432" spans="1:16" ht="14.25" customHeight="1">
      <c r="A432" s="54" t="s">
        <v>999</v>
      </c>
      <c r="B432" s="54"/>
      <c r="C432" s="3648"/>
      <c r="D432" s="3648"/>
      <c r="E432" s="3648"/>
      <c r="F432" s="3648"/>
      <c r="G432" s="3648"/>
      <c r="H432" s="3648"/>
      <c r="I432" s="54"/>
      <c r="J432" s="54"/>
      <c r="K432" s="54"/>
      <c r="L432" s="54"/>
      <c r="M432" s="54"/>
      <c r="N432" s="54"/>
      <c r="O432" s="54"/>
      <c r="P432" s="54"/>
    </row>
    <row r="433" spans="1:16" ht="14.25" customHeight="1">
      <c r="A433" s="54" t="s">
        <v>874</v>
      </c>
      <c r="B433" s="54"/>
      <c r="C433" s="3648"/>
      <c r="D433" s="3648"/>
      <c r="E433" s="3648"/>
      <c r="F433" s="3648"/>
      <c r="G433" s="3648"/>
      <c r="H433" s="3648"/>
      <c r="I433" s="54"/>
      <c r="J433" s="54"/>
      <c r="K433" s="54"/>
      <c r="L433" s="54"/>
      <c r="M433" s="54"/>
      <c r="N433" s="54"/>
      <c r="O433" s="54"/>
      <c r="P433" s="54"/>
    </row>
    <row r="434" spans="1:16" ht="14.25" customHeight="1">
      <c r="A434" s="54" t="s">
        <v>875</v>
      </c>
      <c r="B434" s="54"/>
      <c r="C434" s="3648"/>
      <c r="D434" s="3648"/>
      <c r="E434" s="3648"/>
      <c r="F434" s="3648"/>
      <c r="G434" s="3648"/>
      <c r="H434" s="3648"/>
      <c r="I434" s="54"/>
      <c r="J434" s="54"/>
      <c r="K434" s="54"/>
      <c r="L434" s="54"/>
      <c r="M434" s="54"/>
      <c r="N434" s="54"/>
      <c r="O434" s="54"/>
      <c r="P434" s="54"/>
    </row>
    <row r="435" spans="1:16" ht="14.25" customHeight="1">
      <c r="A435" s="54"/>
      <c r="B435" s="54"/>
      <c r="C435" s="3648"/>
      <c r="D435" s="3648"/>
      <c r="E435" s="3648"/>
      <c r="F435" s="3648"/>
      <c r="G435" s="3648"/>
      <c r="H435" s="3648"/>
      <c r="I435" s="54"/>
      <c r="J435" s="54"/>
      <c r="K435" s="54"/>
      <c r="L435" s="54"/>
      <c r="M435" s="54"/>
      <c r="N435" s="54"/>
      <c r="O435" s="54"/>
      <c r="P435" s="54"/>
    </row>
    <row r="436" spans="1:16" ht="14.25" customHeight="1">
      <c r="A436" s="54"/>
      <c r="B436" s="54"/>
      <c r="C436" s="3648"/>
      <c r="D436" s="3648"/>
      <c r="E436" s="3648"/>
      <c r="F436" s="3648"/>
      <c r="G436" s="3648"/>
      <c r="H436" s="3648"/>
      <c r="I436" s="54"/>
      <c r="J436" s="54"/>
      <c r="K436" s="54"/>
      <c r="L436" s="54"/>
      <c r="M436" s="54"/>
      <c r="N436" s="54"/>
      <c r="O436" s="54"/>
      <c r="P436" s="54"/>
    </row>
    <row r="437" spans="1:16" ht="14.25" customHeight="1">
      <c r="A437" s="4645" t="s">
        <v>1485</v>
      </c>
      <c r="B437" s="4623"/>
      <c r="C437" s="4623"/>
      <c r="D437" s="4623"/>
      <c r="E437" s="4623"/>
      <c r="F437" s="4623"/>
      <c r="G437" s="4623"/>
      <c r="H437" s="4623"/>
      <c r="I437" s="4623"/>
      <c r="J437" s="54"/>
      <c r="K437" s="54"/>
      <c r="L437" s="54"/>
      <c r="M437" s="54"/>
      <c r="N437" s="54"/>
      <c r="O437" s="54"/>
      <c r="P437" s="54"/>
    </row>
    <row r="438" spans="1:16" ht="14.25" customHeight="1">
      <c r="A438" s="54"/>
      <c r="B438" s="54"/>
      <c r="C438" s="3648"/>
      <c r="D438" s="3648"/>
      <c r="E438" s="3648"/>
      <c r="F438" s="3648"/>
      <c r="G438" s="3648"/>
      <c r="H438" s="3648"/>
      <c r="I438" s="54"/>
      <c r="J438" s="54"/>
      <c r="K438" s="54"/>
      <c r="L438" s="54"/>
      <c r="M438" s="54"/>
      <c r="N438" s="54"/>
      <c r="O438" s="54"/>
      <c r="P438" s="54"/>
    </row>
    <row r="439" spans="1:16" ht="14.25" customHeight="1">
      <c r="A439" s="4641" t="s">
        <v>851</v>
      </c>
      <c r="B439" s="4641"/>
      <c r="C439" s="4641"/>
      <c r="D439" s="4641"/>
      <c r="E439" s="4641"/>
      <c r="F439" s="4641"/>
      <c r="G439" s="4641"/>
      <c r="H439" s="4641"/>
      <c r="I439" s="4641"/>
      <c r="J439" s="54"/>
      <c r="K439" s="54"/>
      <c r="L439" s="54"/>
      <c r="M439" s="54"/>
      <c r="N439" s="54"/>
      <c r="O439" s="54"/>
      <c r="P439" s="54"/>
    </row>
    <row r="440" spans="1:16" ht="14.25" customHeight="1">
      <c r="A440" s="4641" t="s">
        <v>876</v>
      </c>
      <c r="B440" s="4641"/>
      <c r="C440" s="4641"/>
      <c r="D440" s="4641"/>
      <c r="E440" s="4641"/>
      <c r="F440" s="4641"/>
      <c r="G440" s="4641"/>
      <c r="H440" s="4641"/>
      <c r="I440" s="4641"/>
      <c r="J440" s="54"/>
      <c r="K440" s="54"/>
      <c r="L440" s="54"/>
      <c r="M440" s="54"/>
      <c r="N440" s="54"/>
      <c r="O440" s="54"/>
      <c r="P440" s="54"/>
    </row>
    <row r="441" spans="1:16" ht="14.25" customHeight="1">
      <c r="A441" s="54"/>
      <c r="B441" s="54"/>
      <c r="C441" s="3649"/>
      <c r="D441" s="3649"/>
      <c r="E441" s="3649"/>
      <c r="F441" s="3649"/>
      <c r="G441" s="3649"/>
      <c r="H441" s="3649"/>
      <c r="I441" s="54"/>
      <c r="J441" s="54"/>
      <c r="K441" s="54"/>
      <c r="L441" s="54"/>
      <c r="M441" s="54"/>
      <c r="N441" s="54"/>
      <c r="O441" s="54"/>
      <c r="P441" s="54"/>
    </row>
    <row r="442" spans="1:16" ht="14.25" customHeight="1">
      <c r="A442" s="54" t="str">
        <f>"Diese Vergütungsvereinbarung tritt am "&amp;TEXT(Protokoll!B11,"TT.MM.JJJJ")&amp;" in Kraft und gilt bis zum "&amp;TEXT(Protokoll!D11,"TT.MM.JJJJ")&amp;"."</f>
        <v>Diese Vergütungsvereinbarung tritt am 01.03.2025 in Kraft und gilt bis zum 28.02.2026.</v>
      </c>
      <c r="C442" s="54"/>
      <c r="D442" s="54"/>
      <c r="E442" s="54"/>
      <c r="F442" s="54"/>
      <c r="G442" s="54"/>
      <c r="H442" s="54"/>
      <c r="I442" s="54"/>
      <c r="J442" s="54"/>
      <c r="K442" s="54"/>
      <c r="L442" s="54"/>
      <c r="M442" s="54"/>
      <c r="N442" s="54"/>
      <c r="O442" s="54"/>
      <c r="P442" s="54"/>
    </row>
    <row r="443" spans="1:16" ht="14.25" customHeight="1">
      <c r="A443" s="63"/>
      <c r="B443" s="54"/>
      <c r="C443" s="54"/>
      <c r="D443" s="54"/>
      <c r="E443" s="54"/>
      <c r="F443" s="54"/>
      <c r="G443" s="54"/>
      <c r="H443" s="54"/>
      <c r="I443" s="54"/>
      <c r="J443" s="54"/>
      <c r="K443" s="54"/>
      <c r="L443" s="54"/>
      <c r="M443" s="54"/>
      <c r="N443" s="54"/>
      <c r="O443" s="54"/>
      <c r="P443" s="54"/>
    </row>
    <row r="444" spans="1:16" ht="14.25" customHeight="1">
      <c r="A444" s="54" t="s">
        <v>2309</v>
      </c>
      <c r="B444" s="54"/>
      <c r="C444" s="54"/>
      <c r="D444" s="54"/>
      <c r="E444" s="54"/>
      <c r="F444" s="54"/>
      <c r="G444" s="54"/>
      <c r="H444" s="54"/>
      <c r="I444" s="54"/>
      <c r="J444" s="54"/>
      <c r="K444" s="54"/>
      <c r="L444" s="54"/>
      <c r="M444" s="54"/>
      <c r="N444" s="54"/>
      <c r="O444" s="54"/>
      <c r="P444" s="54"/>
    </row>
    <row r="445" spans="1:16" ht="14.25" customHeight="1">
      <c r="A445" s="54" t="s">
        <v>2308</v>
      </c>
      <c r="B445" s="54"/>
      <c r="C445" s="54"/>
      <c r="D445" s="54"/>
      <c r="E445" s="54"/>
      <c r="F445" s="54"/>
      <c r="G445" s="54"/>
      <c r="H445" s="54"/>
      <c r="I445" s="54"/>
      <c r="J445" s="54"/>
      <c r="K445" s="54"/>
      <c r="L445" s="54"/>
      <c r="M445" s="54"/>
      <c r="N445" s="54"/>
      <c r="O445" s="54"/>
      <c r="P445" s="54"/>
    </row>
    <row r="446" spans="1:16" ht="14.25" customHeight="1">
      <c r="A446" s="54" t="s">
        <v>877</v>
      </c>
      <c r="B446" s="54"/>
      <c r="C446" s="54"/>
      <c r="D446" s="54"/>
      <c r="E446" s="54"/>
      <c r="F446" s="54"/>
      <c r="G446" s="54"/>
      <c r="H446" s="54"/>
      <c r="I446" s="54"/>
      <c r="J446" s="54"/>
      <c r="K446" s="54"/>
      <c r="L446" s="54"/>
      <c r="M446" s="54"/>
      <c r="N446" s="54"/>
      <c r="O446" s="54"/>
      <c r="P446" s="54"/>
    </row>
    <row r="447" spans="1:16" ht="14.25" customHeight="1">
      <c r="A447" s="54" t="s">
        <v>878</v>
      </c>
      <c r="B447" s="54"/>
      <c r="C447" s="54"/>
      <c r="D447" s="54"/>
      <c r="E447" s="54"/>
      <c r="F447" s="54"/>
      <c r="G447" s="54"/>
      <c r="H447" s="54"/>
      <c r="I447" s="54"/>
      <c r="J447" s="54"/>
      <c r="K447" s="54"/>
      <c r="L447" s="54"/>
      <c r="M447" s="54"/>
      <c r="N447" s="54"/>
      <c r="O447" s="54"/>
      <c r="P447" s="54"/>
    </row>
    <row r="448" spans="1:16" ht="14.25" customHeight="1">
      <c r="A448" s="54"/>
      <c r="B448" s="54"/>
      <c r="C448" s="54"/>
      <c r="D448" s="54"/>
      <c r="E448" s="54"/>
      <c r="F448" s="54"/>
      <c r="G448" s="54"/>
      <c r="H448" s="54"/>
      <c r="I448" s="54"/>
      <c r="J448" s="54"/>
      <c r="K448" s="54"/>
      <c r="L448" s="54"/>
      <c r="M448" s="54"/>
      <c r="N448" s="54"/>
      <c r="O448" s="54"/>
      <c r="P448" s="54"/>
    </row>
    <row r="449" spans="1:16" ht="14.25" hidden="1" customHeight="1" outlineLevel="1">
      <c r="A449" s="54" t="s">
        <v>1970</v>
      </c>
      <c r="B449" s="54"/>
      <c r="C449" s="54"/>
      <c r="D449" s="54"/>
      <c r="E449" s="54"/>
      <c r="F449" s="54"/>
      <c r="G449" s="54"/>
      <c r="H449" s="54"/>
      <c r="I449" s="54"/>
      <c r="J449" s="54"/>
      <c r="K449" s="54"/>
      <c r="L449" s="54"/>
      <c r="M449" s="54"/>
      <c r="N449" s="54"/>
      <c r="O449" s="54"/>
      <c r="P449" s="54"/>
    </row>
    <row r="450" spans="1:16" ht="14.25" hidden="1" customHeight="1" outlineLevel="1">
      <c r="A450" s="54" t="s">
        <v>1968</v>
      </c>
      <c r="B450" s="54"/>
      <c r="C450" s="54"/>
      <c r="D450" s="54"/>
      <c r="E450" s="54"/>
      <c r="F450" s="54"/>
      <c r="G450" s="54"/>
      <c r="H450" s="54"/>
      <c r="I450" s="54"/>
      <c r="J450" s="54"/>
      <c r="K450" s="54"/>
      <c r="L450" s="54"/>
      <c r="M450" s="54"/>
      <c r="N450" s="54"/>
      <c r="O450" s="54"/>
      <c r="P450" s="54"/>
    </row>
    <row r="451" spans="1:16" ht="14.25" hidden="1" outlineLevel="1">
      <c r="A451" s="54" t="s">
        <v>1969</v>
      </c>
      <c r="B451" s="54"/>
      <c r="C451" s="54"/>
      <c r="D451" s="54"/>
      <c r="E451" s="54"/>
      <c r="F451" s="54"/>
      <c r="G451" s="54"/>
      <c r="H451" s="54"/>
      <c r="I451" s="54"/>
      <c r="J451" s="54"/>
      <c r="K451" s="54"/>
      <c r="L451" s="54"/>
      <c r="M451" s="54"/>
      <c r="N451" s="54"/>
      <c r="O451" s="54"/>
      <c r="P451" s="54"/>
    </row>
    <row r="452" spans="1:16" ht="14.25" collapsed="1">
      <c r="A452" s="54"/>
      <c r="B452" s="54"/>
      <c r="C452" s="54"/>
      <c r="D452" s="54"/>
      <c r="E452" s="54"/>
      <c r="F452" s="54"/>
      <c r="G452" s="54"/>
      <c r="H452" s="54"/>
      <c r="I452" s="54"/>
      <c r="J452" s="54"/>
      <c r="K452" s="54"/>
      <c r="L452" s="54"/>
      <c r="M452" s="54"/>
      <c r="N452" s="54"/>
      <c r="O452" s="54"/>
      <c r="P452" s="54"/>
    </row>
    <row r="453" spans="1:16" ht="14.25" customHeight="1">
      <c r="A453" s="90" t="e">
        <f ca="1">IF(Ort_Träger=VLOOKUP(Ort,Datenbereich,6,FALSE),"",Ort_Träger&amp;", ")&amp;VLOOKUP(Ort,Datenbereich,6,FALSE)&amp;", "&amp;IF(Ort_Träger="Münster","",IF(Ort_Träger="Köln","",VLOOKUP(Ort,Datenbereich,7,FALSE)&amp;", "))&amp;TEXT(TODAY(),"TT.MM.JJJJ")</f>
        <v>#N/A</v>
      </c>
      <c r="B453" s="69"/>
      <c r="C453" s="54"/>
      <c r="D453" s="54"/>
      <c r="E453" s="54"/>
      <c r="F453" s="54"/>
      <c r="G453" s="54"/>
      <c r="H453" s="54"/>
      <c r="I453" s="76"/>
      <c r="J453" s="76"/>
      <c r="K453" s="76"/>
      <c r="L453" s="76"/>
      <c r="M453" s="76"/>
      <c r="N453" s="76"/>
      <c r="O453" s="76"/>
      <c r="P453" s="76"/>
    </row>
    <row r="454" spans="1:16" ht="14.25" customHeight="1">
      <c r="A454" s="91"/>
      <c r="B454" s="67"/>
      <c r="C454" s="54"/>
      <c r="D454" s="54"/>
      <c r="E454" s="54"/>
      <c r="F454" s="54"/>
      <c r="G454" s="54"/>
      <c r="H454" s="54"/>
      <c r="I454" s="3650"/>
      <c r="J454" s="3650"/>
      <c r="K454" s="3650"/>
      <c r="L454" s="3650"/>
      <c r="M454" s="3650"/>
      <c r="N454" s="3650"/>
      <c r="O454" s="3650"/>
      <c r="P454" s="3650"/>
    </row>
    <row r="455" spans="1:16" ht="14.25" customHeight="1">
      <c r="A455" s="94"/>
      <c r="B455" s="94"/>
      <c r="C455" s="54"/>
      <c r="D455" s="54"/>
      <c r="E455" s="54"/>
      <c r="F455" s="54"/>
      <c r="G455" s="54"/>
      <c r="H455" s="54"/>
    </row>
    <row r="456" spans="1:16" ht="14.25" customHeight="1">
      <c r="A456" s="94"/>
      <c r="B456" s="94"/>
      <c r="C456" s="54"/>
      <c r="D456" s="54"/>
      <c r="E456" s="54"/>
      <c r="F456" s="54"/>
      <c r="G456" s="54"/>
      <c r="H456" s="54"/>
    </row>
    <row r="457" spans="1:16" ht="14.25" customHeight="1">
      <c r="A457" s="93"/>
      <c r="B457" s="93"/>
      <c r="C457" s="69"/>
      <c r="D457" s="69"/>
      <c r="E457" s="69"/>
      <c r="F457" s="69"/>
      <c r="G457" s="69"/>
      <c r="H457" s="67"/>
    </row>
    <row r="458" spans="1:16" ht="14.25" customHeight="1">
      <c r="A458" s="93"/>
      <c r="B458" s="93"/>
      <c r="C458" s="54"/>
      <c r="D458" s="54"/>
      <c r="E458" s="54"/>
      <c r="F458" s="54"/>
      <c r="G458" s="54"/>
      <c r="H458" s="54"/>
    </row>
    <row r="459" spans="1:16" ht="14.25" customHeight="1">
      <c r="A459" s="93"/>
      <c r="B459" s="93"/>
    </row>
    <row r="460" spans="1:16" ht="14.25" customHeight="1">
      <c r="A460" s="93"/>
      <c r="B460" s="93"/>
    </row>
    <row r="461" spans="1:16" ht="14.25" customHeight="1">
      <c r="A461" s="93"/>
      <c r="B461" s="93"/>
    </row>
    <row r="462" spans="1:16" ht="14.25" customHeight="1">
      <c r="A462" s="93"/>
      <c r="B462" s="93"/>
    </row>
    <row r="463" spans="1:16" ht="14.25" customHeight="1" thickBot="1">
      <c r="A463" s="92"/>
      <c r="B463" s="92"/>
      <c r="C463" s="92"/>
      <c r="D463" s="92"/>
      <c r="E463" s="92"/>
      <c r="F463" s="54"/>
      <c r="G463" s="92"/>
      <c r="H463" s="92"/>
    </row>
    <row r="464" spans="1:16" ht="14.25" customHeight="1">
      <c r="A464" s="4617" t="str">
        <f>CONCATENATE(Träger," ",Träger2)</f>
        <v xml:space="preserve"> </v>
      </c>
      <c r="B464" s="4617"/>
      <c r="C464" s="4617"/>
      <c r="D464" s="4617"/>
      <c r="E464" s="4617"/>
      <c r="F464" s="93"/>
      <c r="G464" s="4619" t="s">
        <v>355</v>
      </c>
      <c r="H464" s="4619"/>
    </row>
    <row r="465" spans="1:8" ht="14.25" customHeight="1">
      <c r="A465" s="4618"/>
      <c r="B465" s="4618"/>
      <c r="C465" s="4618"/>
      <c r="D465" s="4618"/>
      <c r="E465" s="4618"/>
      <c r="F465" s="93"/>
      <c r="G465" s="4620" t="str">
        <f>"in Nordrhein-Westfalen, vertreten durch"</f>
        <v>in Nordrhein-Westfalen, vertreten durch</v>
      </c>
      <c r="H465" s="4620"/>
    </row>
    <row r="466" spans="1:8" ht="14.25" customHeight="1">
      <c r="A466" s="4618"/>
      <c r="B466" s="4618"/>
      <c r="C466" s="4618"/>
      <c r="D466" s="4618"/>
      <c r="E466" s="4618"/>
      <c r="F466" s="93"/>
      <c r="G466"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466" s="4620"/>
    </row>
    <row r="467" spans="1:8" ht="14.25" customHeight="1">
      <c r="G467" s="4601" t="str">
        <f>IF('Copy &amp; Paste'!I1="BEK","der Pflegekasse der BARMER",IF('Copy &amp; Paste'!I1="BEK Schade","der Pflegekasse der BARMER",IF('Copy &amp; Paste'!I1="DAK"," der DAK-Gesundheit-PFLEGEKASSE",IF('Copy &amp; Paste'!I1="vdek","",IF(Ergebnis!C3="AOK WL","- die Gesundheitskasse.",IF(Ergebnis!C3="AOK NO","- die Gesundheitskasse.",""))))))</f>
        <v/>
      </c>
      <c r="H467" s="4601"/>
    </row>
    <row r="468" spans="1:8" ht="14.25" customHeight="1"/>
    <row r="469" spans="1:8" ht="14.25" customHeight="1"/>
    <row r="470" spans="1:8" ht="14.25" customHeight="1"/>
    <row r="471" spans="1:8" ht="14.25" customHeight="1"/>
    <row r="472" spans="1:8" ht="14.25" customHeight="1"/>
    <row r="473" spans="1:8" ht="14.25" customHeight="1"/>
    <row r="474" spans="1:8" ht="14.25" customHeight="1" thickBot="1">
      <c r="G474" s="120" t="s">
        <v>351</v>
      </c>
      <c r="H474" s="120"/>
    </row>
    <row r="475" spans="1:8" ht="14.25" customHeight="1">
      <c r="G475" s="4639" t="str">
        <f>IF(Ergebnis!$C$2="Westfalen-Lippe","Der Direktor des Landschaftsverbandes","Die Direktorin des Landschaftsverbandes")</f>
        <v>Die Direktorin des Landschaftsverbandes</v>
      </c>
      <c r="H475" s="4639"/>
    </row>
    <row r="476" spans="1:8" ht="14.25" customHeight="1">
      <c r="G476" s="4640" t="str">
        <f>IF(Ergebnis!$C$2="Westfalen-Lippe","Westfalen-Lippe","Rheinland")</f>
        <v>Rheinland</v>
      </c>
      <c r="H476" s="4640"/>
    </row>
    <row r="477" spans="1:8" ht="14.25" customHeight="1"/>
    <row r="478" spans="1:8" ht="14.25" customHeight="1"/>
    <row r="479" spans="1:8" ht="14.25" customHeight="1"/>
    <row r="480" spans="1:8"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sheetData>
  <mergeCells count="81">
    <mergeCell ref="A56:I56"/>
    <mergeCell ref="A301:I301"/>
    <mergeCell ref="A398:I398"/>
    <mergeCell ref="A2:I2"/>
    <mergeCell ref="A3:I3"/>
    <mergeCell ref="A4:I4"/>
    <mergeCell ref="A53:I53"/>
    <mergeCell ref="A55:I55"/>
    <mergeCell ref="D127:F127"/>
    <mergeCell ref="A65:I65"/>
    <mergeCell ref="A66:I66"/>
    <mergeCell ref="A113:I113"/>
    <mergeCell ref="A115:I115"/>
    <mergeCell ref="A116:I116"/>
    <mergeCell ref="A117:I117"/>
    <mergeCell ref="C122:C124"/>
    <mergeCell ref="D122:F124"/>
    <mergeCell ref="G122:G124"/>
    <mergeCell ref="D125:F125"/>
    <mergeCell ref="D126:F126"/>
    <mergeCell ref="B186:C186"/>
    <mergeCell ref="D186:E186"/>
    <mergeCell ref="F186:G186"/>
    <mergeCell ref="D128:F128"/>
    <mergeCell ref="D129:F129"/>
    <mergeCell ref="D130:F130"/>
    <mergeCell ref="A135:H135"/>
    <mergeCell ref="A136:H136"/>
    <mergeCell ref="A149:H149"/>
    <mergeCell ref="A150:H150"/>
    <mergeCell ref="A180:I180"/>
    <mergeCell ref="B185:C185"/>
    <mergeCell ref="D185:E185"/>
    <mergeCell ref="F185:G185"/>
    <mergeCell ref="B187:C187"/>
    <mergeCell ref="D187:E187"/>
    <mergeCell ref="F187:G187"/>
    <mergeCell ref="B188:C188"/>
    <mergeCell ref="D188:E188"/>
    <mergeCell ref="F188:G188"/>
    <mergeCell ref="A224:I224"/>
    <mergeCell ref="B189:C189"/>
    <mergeCell ref="D189:E189"/>
    <mergeCell ref="F189:G189"/>
    <mergeCell ref="B190:C190"/>
    <mergeCell ref="D190:E190"/>
    <mergeCell ref="F190:G190"/>
    <mergeCell ref="B195:C195"/>
    <mergeCell ref="A203:I203"/>
    <mergeCell ref="A204:I204"/>
    <mergeCell ref="E212:F212"/>
    <mergeCell ref="A223:I223"/>
    <mergeCell ref="A437:I437"/>
    <mergeCell ref="A229:I229"/>
    <mergeCell ref="A298:I298"/>
    <mergeCell ref="A328:I328"/>
    <mergeCell ref="A345:I345"/>
    <mergeCell ref="A347:I347"/>
    <mergeCell ref="A348:I348"/>
    <mergeCell ref="A377:I377"/>
    <mergeCell ref="A384:I384"/>
    <mergeCell ref="A429:I429"/>
    <mergeCell ref="A430:I430"/>
    <mergeCell ref="B277:H277"/>
    <mergeCell ref="B241:H241"/>
    <mergeCell ref="G467:H467"/>
    <mergeCell ref="G475:H475"/>
    <mergeCell ref="G476:H476"/>
    <mergeCell ref="B206:H206"/>
    <mergeCell ref="B207:H207"/>
    <mergeCell ref="B244:H244"/>
    <mergeCell ref="B245:H245"/>
    <mergeCell ref="E250:F250"/>
    <mergeCell ref="A261:I261"/>
    <mergeCell ref="A262:I262"/>
    <mergeCell ref="A439:I439"/>
    <mergeCell ref="A440:I440"/>
    <mergeCell ref="A464:E466"/>
    <mergeCell ref="G464:H464"/>
    <mergeCell ref="G465:H465"/>
    <mergeCell ref="G466:H466"/>
  </mergeCells>
  <conditionalFormatting sqref="H15">
    <cfRule type="cellIs" dxfId="193" priority="14" operator="equal">
      <formula>0</formula>
    </cfRule>
  </conditionalFormatting>
  <conditionalFormatting sqref="A13 H11">
    <cfRule type="cellIs" dxfId="192" priority="13" operator="equal">
      <formula>0</formula>
    </cfRule>
  </conditionalFormatting>
  <printOptions horizontalCentered="1"/>
  <pageMargins left="0.78740157480314965" right="0.59055118110236227" top="0.39370078740157483" bottom="0.31496062992125984" header="0.31496062992125984" footer="0.23622047244094491"/>
  <pageSetup paperSize="9" scale="83" fitToWidth="7" fitToHeight="7" orientation="portrait" r:id="rId1"/>
  <headerFooter alignWithMargins="0"/>
  <rowBreaks count="8" manualBreakCount="8">
    <brk id="52" max="16383" man="1"/>
    <brk id="112" max="16383" man="1"/>
    <brk id="178" max="8" man="1"/>
    <brk id="228" max="8" man="1"/>
    <brk id="300" max="8" man="1"/>
    <brk id="345" max="8" man="1"/>
    <brk id="397" max="8" man="1"/>
    <brk id="436" max="8" man="1"/>
  </rowBreaks>
  <drawing r:id="rId2"/>
  <extLst>
    <ext xmlns:x14="http://schemas.microsoft.com/office/spreadsheetml/2009/9/main" uri="{78C0D931-6437-407d-A8EE-F0AAD7539E65}">
      <x14:conditionalFormattings>
        <x14:conditionalFormatting xmlns:xm="http://schemas.microsoft.com/office/excel/2006/main">
          <x14:cfRule type="expression" priority="12" id="{3AEA5891-1E9B-4A53-80E8-2575D62409AE}">
            <xm:f>'Copy &amp; Paste'!$H$12&lt;1</xm:f>
            <x14:dxf>
              <font>
                <color theme="0"/>
              </font>
            </x14:dxf>
          </x14:cfRule>
          <xm:sqref>D212:D218</xm:sqref>
        </x14:conditionalFormatting>
        <x14:conditionalFormatting xmlns:xm="http://schemas.microsoft.com/office/excel/2006/main">
          <x14:cfRule type="expression" priority="11" id="{5847EBC7-58FF-4FD8-BAD6-12D12C82C9C9}">
            <xm:f>'Copy &amp; Paste'!$H$12&lt;1</xm:f>
            <x14:dxf>
              <font>
                <color theme="0"/>
              </font>
            </x14:dxf>
          </x14:cfRule>
          <xm:sqref>C404:D404</xm:sqref>
        </x14:conditionalFormatting>
        <x14:conditionalFormatting xmlns:xm="http://schemas.microsoft.com/office/excel/2006/main">
          <x14:cfRule type="expression" priority="10" id="{6262FA21-2ECC-4002-9EFC-CDAECEAB7304}">
            <xm:f>'Copy &amp; Paste'!$H$12=""</xm:f>
            <x14:dxf>
              <font>
                <color theme="0"/>
              </font>
            </x14:dxf>
          </x14:cfRule>
          <xm:sqref>A400:J412</xm:sqref>
        </x14:conditionalFormatting>
        <x14:conditionalFormatting xmlns:xm="http://schemas.microsoft.com/office/excel/2006/main">
          <x14:cfRule type="expression" priority="9" id="{4D94C8B2-C860-490A-BEF2-3C55AA6021E4}">
            <xm:f>'84 9 Nachweis'!$S$40</xm:f>
            <x14:dxf>
              <font>
                <color theme="0"/>
              </font>
            </x14:dxf>
          </x14:cfRule>
          <xm:sqref>A449:I451</xm:sqref>
        </x14:conditionalFormatting>
        <x14:conditionalFormatting xmlns:xm="http://schemas.microsoft.com/office/excel/2006/main">
          <x14:cfRule type="expression" priority="5" id="{5EA56A7F-8C2B-430C-8B91-EAF0C3641698}">
            <xm:f>Protokoll!$D$68=0</xm:f>
            <x14:dxf>
              <font>
                <color theme="0"/>
              </font>
            </x14:dxf>
          </x14:cfRule>
          <x14:cfRule type="expression" priority="6" id="{D6B85DAA-8ECF-47E8-9667-B815A57DE800}">
            <xm:f>'84 9 Nachweis'!$S$40=0</xm:f>
            <x14:dxf>
              <font>
                <color theme="0"/>
              </font>
            </x14:dxf>
          </x14:cfRule>
          <x14:cfRule type="expression" priority="7" id="{65822AD0-8182-4D1F-8173-E3CEC43257B1}">
            <xm:f>'84 9 Nachweis'!$S$40=0</xm:f>
            <x14:dxf>
              <font>
                <color theme="0"/>
              </font>
            </x14:dxf>
          </x14:cfRule>
          <x14:cfRule type="expression" priority="8" id="{CF64E3E7-E224-4182-8491-4025E4BF6527}">
            <xm:f>'84 9 Nachweis'!$S$40=0</xm:f>
            <x14:dxf>
              <font>
                <color theme="0"/>
              </font>
            </x14:dxf>
          </x14:cfRule>
          <xm:sqref>A449:A451</xm:sqref>
        </x14:conditionalFormatting>
        <x14:conditionalFormatting xmlns:xm="http://schemas.microsoft.com/office/excel/2006/main">
          <x14:cfRule type="expression" priority="4" id="{E2C73C8D-49F0-4F9C-B27B-7A795C29FAC3}">
            <xm:f>Ergebnis!$E$28=0</xm:f>
            <x14:dxf>
              <font>
                <color theme="0"/>
              </font>
            </x14:dxf>
          </x14:cfRule>
          <xm:sqref>A287:I295</xm:sqref>
        </x14:conditionalFormatting>
        <x14:conditionalFormatting xmlns:xm="http://schemas.microsoft.com/office/excel/2006/main">
          <x14:cfRule type="expression" priority="3" id="{4AF3C672-1BEF-4FEC-A9A9-13BF7471B4AB}">
            <xm:f>'Copy &amp; Paste'!$H$12&lt;1</xm:f>
            <x14:dxf>
              <font>
                <color theme="0"/>
              </font>
            </x14:dxf>
          </x14:cfRule>
          <xm:sqref>D250:D256</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CQ483"/>
  <sheetViews>
    <sheetView view="pageBreakPreview" topLeftCell="A150" zoomScale="120" zoomScaleNormal="120" zoomScaleSheetLayoutView="120" workbookViewId="0">
      <selection activeCell="D165" sqref="D165:I165"/>
    </sheetView>
  </sheetViews>
  <sheetFormatPr baseColWidth="10" defaultColWidth="11.42578125" defaultRowHeight="18" customHeight="1" outlineLevelRow="1"/>
  <cols>
    <col min="1" max="1" width="3.42578125" style="53" customWidth="1"/>
    <col min="2" max="2" width="2.42578125" style="53" customWidth="1"/>
    <col min="3" max="3" width="16.7109375" style="53" customWidth="1"/>
    <col min="4" max="4" width="11.42578125" style="53"/>
    <col min="5" max="5" width="10.5703125" style="53" customWidth="1"/>
    <col min="6" max="6" width="6.28515625" style="53" customWidth="1"/>
    <col min="7" max="7" width="14.5703125" style="53" customWidth="1"/>
    <col min="8" max="8" width="24.5703125" style="53" customWidth="1"/>
    <col min="9" max="9" width="4.7109375" style="53" customWidth="1"/>
    <col min="10" max="10" width="2.42578125" style="53" customWidth="1"/>
    <col min="11" max="11" width="16.7109375" style="53" customWidth="1"/>
    <col min="12" max="12" width="11.42578125" style="53" customWidth="1"/>
    <col min="13" max="13" width="10.140625" style="53" customWidth="1"/>
    <col min="14" max="14" width="2" style="53" customWidth="1"/>
    <col min="15" max="15" width="11.42578125" style="53" customWidth="1"/>
    <col min="16" max="16" width="32.7109375" style="53" customWidth="1"/>
    <col min="17" max="16384" width="11.42578125" style="53"/>
  </cols>
  <sheetData>
    <row r="1" spans="1:9" ht="20.25">
      <c r="A1" s="2825"/>
      <c r="B1" s="2825"/>
      <c r="C1" s="2825"/>
      <c r="D1" s="2825"/>
      <c r="E1" s="2825"/>
      <c r="F1" s="2825"/>
      <c r="G1" s="2825"/>
      <c r="H1" s="2825"/>
      <c r="I1" s="2749"/>
    </row>
    <row r="2" spans="1:9" ht="18" customHeight="1">
      <c r="A2" s="4615" t="s">
        <v>265</v>
      </c>
      <c r="B2" s="4615"/>
      <c r="C2" s="4615"/>
      <c r="D2" s="4615"/>
      <c r="E2" s="4615"/>
      <c r="F2" s="4615"/>
      <c r="G2" s="4615"/>
      <c r="H2" s="4615"/>
      <c r="I2" s="4615"/>
    </row>
    <row r="3" spans="1:9" ht="18" customHeight="1">
      <c r="A3" s="4615" t="s">
        <v>280</v>
      </c>
      <c r="B3" s="4615"/>
      <c r="C3" s="4615"/>
      <c r="D3" s="4615"/>
      <c r="E3" s="4615"/>
      <c r="F3" s="4615"/>
      <c r="G3" s="4615"/>
      <c r="H3" s="4615"/>
      <c r="I3" s="4615"/>
    </row>
    <row r="4" spans="1:9" ht="18" customHeight="1">
      <c r="A4" s="4615" t="str">
        <f>"der vollstationären Pflege "&amp;IF('Copy &amp; Paste'!H12&lt;&gt;0,"und der Kurzzeitpflege","")</f>
        <v xml:space="preserve">der vollstationären Pflege </v>
      </c>
      <c r="B4" s="4615"/>
      <c r="C4" s="4615"/>
      <c r="D4" s="4615"/>
      <c r="E4" s="4615"/>
      <c r="F4" s="4615"/>
      <c r="G4" s="4615"/>
      <c r="H4" s="4615"/>
      <c r="I4" s="4615"/>
    </row>
    <row r="5" spans="1:9" ht="8.1" customHeight="1">
      <c r="A5" s="54"/>
      <c r="B5" s="54"/>
      <c r="C5" s="54"/>
      <c r="D5" s="54"/>
      <c r="E5" s="54"/>
      <c r="F5" s="54"/>
      <c r="G5" s="55"/>
      <c r="H5" s="55"/>
      <c r="I5" s="55"/>
    </row>
    <row r="6" spans="1:9" ht="18" customHeight="1">
      <c r="A6" s="54" t="s">
        <v>103</v>
      </c>
      <c r="B6" s="54"/>
      <c r="C6" s="54"/>
      <c r="D6" s="54"/>
      <c r="E6" s="54"/>
      <c r="F6" s="54"/>
      <c r="G6" s="55"/>
      <c r="H6" s="55"/>
      <c r="I6" s="55"/>
    </row>
    <row r="7" spans="1:9" ht="8.1" customHeight="1">
      <c r="A7" s="54"/>
      <c r="B7" s="54"/>
      <c r="C7" s="54"/>
      <c r="D7" s="54"/>
      <c r="E7" s="54"/>
      <c r="F7" s="54"/>
      <c r="G7" s="55"/>
      <c r="H7" s="55"/>
      <c r="I7" s="55"/>
    </row>
    <row r="8" spans="1:9" ht="18" customHeight="1">
      <c r="A8" s="112" t="str">
        <f>CONCATENATE(Träger," ",Träger2)</f>
        <v xml:space="preserve"> </v>
      </c>
      <c r="B8" s="112"/>
      <c r="C8" s="112"/>
      <c r="D8" s="112"/>
      <c r="E8" s="112"/>
      <c r="F8" s="54"/>
      <c r="G8" s="55"/>
      <c r="H8" s="55"/>
      <c r="I8" s="55"/>
    </row>
    <row r="9" spans="1:9" ht="18" customHeight="1">
      <c r="A9" s="56" t="str">
        <f>'Seite 1'!F7</f>
        <v/>
      </c>
      <c r="B9" s="54"/>
      <c r="C9" s="54"/>
      <c r="D9" s="54"/>
      <c r="E9" s="54"/>
      <c r="F9" s="54"/>
      <c r="G9" s="55"/>
      <c r="H9" s="55"/>
      <c r="I9" s="55"/>
    </row>
    <row r="10" spans="1:9" ht="18" customHeight="1">
      <c r="A10" s="56" t="str">
        <f>CONCATENATE('Seite 1'!$F$8," ",'Seite 1'!$G$8)</f>
        <v xml:space="preserve"> </v>
      </c>
      <c r="B10" s="54"/>
      <c r="C10" s="54"/>
      <c r="D10" s="54"/>
      <c r="E10" s="54"/>
      <c r="F10" s="54"/>
      <c r="G10" s="55"/>
      <c r="H10" s="57" t="s">
        <v>15</v>
      </c>
      <c r="I10" s="55"/>
    </row>
    <row r="11" spans="1:9" ht="24" customHeight="1">
      <c r="A11" s="54" t="s">
        <v>104</v>
      </c>
      <c r="B11" s="54"/>
      <c r="C11" s="54"/>
      <c r="D11" s="54"/>
      <c r="E11" s="54"/>
      <c r="F11" s="54"/>
      <c r="G11" s="55"/>
      <c r="H11" s="535">
        <f>IK</f>
        <v>0</v>
      </c>
      <c r="I11" s="55"/>
    </row>
    <row r="12" spans="1:9" ht="14.25">
      <c r="A12" s="54"/>
      <c r="B12" s="54"/>
      <c r="C12" s="54"/>
      <c r="D12" s="54"/>
      <c r="E12" s="54"/>
      <c r="F12" s="54"/>
      <c r="G12" s="55"/>
      <c r="H12" s="55"/>
      <c r="I12" s="55"/>
    </row>
    <row r="13" spans="1:9" ht="18" customHeight="1">
      <c r="A13" s="56">
        <f>IF('Copy &amp; Paste'!B6="",'Copy &amp; Paste'!B5,CONCATENATE('Copy &amp; Paste'!B5,", - ",'Copy &amp; Paste'!B6,"- , "))</f>
        <v>0</v>
      </c>
      <c r="B13" s="54"/>
      <c r="C13" s="54"/>
      <c r="D13" s="54"/>
      <c r="E13" s="54"/>
      <c r="F13" s="54"/>
      <c r="G13" s="55"/>
      <c r="I13" s="55"/>
    </row>
    <row r="14" spans="1:9" ht="18" customHeight="1">
      <c r="A14" s="56" t="str">
        <f>'Seite 1'!C7</f>
        <v/>
      </c>
      <c r="B14" s="54"/>
      <c r="C14" s="54"/>
      <c r="D14" s="54"/>
      <c r="E14" s="54"/>
      <c r="F14" s="54"/>
      <c r="G14" s="55"/>
      <c r="H14" s="453" t="s">
        <v>1212</v>
      </c>
      <c r="I14" s="55"/>
    </row>
    <row r="15" spans="1:9" ht="18" customHeight="1">
      <c r="A15" s="56" t="str">
        <f>CONCATENATE('Seite 1'!$C$8," ",'Seite 1'!$D$8)</f>
        <v xml:space="preserve"> </v>
      </c>
      <c r="B15" s="54"/>
      <c r="C15" s="54"/>
      <c r="D15" s="54"/>
      <c r="E15" s="54"/>
      <c r="F15" s="54"/>
      <c r="G15" s="55"/>
      <c r="H15" s="452">
        <f>'Copy &amp; Paste'!B15</f>
        <v>0</v>
      </c>
      <c r="I15" s="55"/>
    </row>
    <row r="16" spans="1:9" ht="18" customHeight="1">
      <c r="A16" s="54"/>
      <c r="B16" s="54"/>
      <c r="C16" s="54"/>
      <c r="D16" s="54"/>
      <c r="E16" s="54"/>
      <c r="F16" s="54"/>
      <c r="G16" s="55"/>
      <c r="H16" s="2745"/>
      <c r="I16" s="55"/>
    </row>
    <row r="17" spans="1:95" s="62" customFormat="1" ht="18" customHeight="1">
      <c r="A17" s="59" t="s">
        <v>746</v>
      </c>
      <c r="B17" s="59"/>
      <c r="C17" s="59"/>
      <c r="D17" s="59"/>
      <c r="E17" s="59"/>
      <c r="F17" s="59"/>
      <c r="G17" s="59"/>
      <c r="H17" s="60" t="s">
        <v>741</v>
      </c>
      <c r="I17" s="61"/>
    </row>
    <row r="18" spans="1:95" ht="8.1" customHeight="1">
      <c r="A18" s="54"/>
      <c r="B18" s="54"/>
      <c r="C18" s="54"/>
      <c r="D18" s="54"/>
      <c r="E18" s="54"/>
      <c r="F18" s="54"/>
      <c r="G18" s="55"/>
      <c r="H18" s="55"/>
      <c r="I18" s="55"/>
    </row>
    <row r="19" spans="1:95" ht="18" customHeight="1">
      <c r="A19" s="54" t="s">
        <v>105</v>
      </c>
      <c r="B19" s="54"/>
      <c r="C19" s="54" t="s">
        <v>743</v>
      </c>
      <c r="D19" s="54"/>
      <c r="E19" s="54"/>
      <c r="F19" s="54"/>
      <c r="G19" s="55"/>
      <c r="H19" s="55"/>
      <c r="I19" s="55"/>
    </row>
    <row r="20" spans="1:95" ht="8.1" customHeight="1">
      <c r="A20" s="54"/>
      <c r="B20" s="54"/>
      <c r="C20" s="54"/>
      <c r="D20" s="54"/>
      <c r="E20" s="54"/>
      <c r="F20" s="54"/>
      <c r="G20" s="55"/>
      <c r="H20" s="55"/>
      <c r="I20" s="55"/>
    </row>
    <row r="21" spans="1:95" s="15" customFormat="1" ht="18" customHeight="1">
      <c r="A21" s="54" t="s">
        <v>744</v>
      </c>
      <c r="B21" s="55"/>
      <c r="C21" s="56" t="s">
        <v>747</v>
      </c>
      <c r="D21" s="55"/>
      <c r="E21" s="55"/>
      <c r="F21" s="55"/>
      <c r="G21" s="55"/>
      <c r="H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row>
    <row r="22" spans="1:95" ht="18" customHeight="1">
      <c r="A22" s="54" t="s">
        <v>744</v>
      </c>
      <c r="B22" s="54"/>
      <c r="C22" s="56" t="s">
        <v>880</v>
      </c>
      <c r="D22" s="54"/>
      <c r="E22" s="54"/>
      <c r="F22" s="54"/>
      <c r="G22" s="55"/>
      <c r="H22" s="55"/>
      <c r="I22" s="55"/>
    </row>
    <row r="23" spans="1:95" ht="18" customHeight="1">
      <c r="A23" s="54" t="s">
        <v>745</v>
      </c>
      <c r="B23" s="54"/>
      <c r="C23" s="56" t="s">
        <v>350</v>
      </c>
      <c r="D23" s="54"/>
      <c r="E23" s="54"/>
      <c r="F23" s="54"/>
      <c r="G23" s="55"/>
      <c r="H23" s="55"/>
      <c r="I23" s="55"/>
    </row>
    <row r="24" spans="1:95" ht="18" customHeight="1">
      <c r="A24" s="54"/>
      <c r="B24" s="54"/>
      <c r="C24" s="54" t="s">
        <v>347</v>
      </c>
      <c r="D24" s="54"/>
      <c r="E24" s="54"/>
      <c r="F24" s="54"/>
      <c r="G24" s="55"/>
      <c r="H24" s="55"/>
      <c r="I24" s="55"/>
    </row>
    <row r="25" spans="1:95" ht="18" customHeight="1">
      <c r="A25" s="54" t="s">
        <v>744</v>
      </c>
      <c r="B25" s="54"/>
      <c r="C25" s="56" t="s">
        <v>1407</v>
      </c>
      <c r="D25" s="54"/>
      <c r="E25" s="54"/>
      <c r="F25" s="54"/>
      <c r="G25" s="55"/>
      <c r="H25" s="55"/>
      <c r="I25" s="55"/>
    </row>
    <row r="26" spans="1:95" ht="18" customHeight="1">
      <c r="A26" s="54" t="s">
        <v>744</v>
      </c>
      <c r="B26" s="54"/>
      <c r="C26" s="56" t="s">
        <v>1194</v>
      </c>
      <c r="D26" s="54"/>
      <c r="E26" s="54"/>
      <c r="F26" s="54"/>
      <c r="G26" s="55"/>
      <c r="H26" s="55"/>
      <c r="I26" s="55"/>
    </row>
    <row r="27" spans="1:95" ht="18" customHeight="1">
      <c r="A27" s="54" t="s">
        <v>744</v>
      </c>
      <c r="B27" s="54"/>
      <c r="C27" s="56" t="s">
        <v>787</v>
      </c>
      <c r="D27" s="54"/>
      <c r="E27" s="54"/>
      <c r="F27" s="54"/>
      <c r="G27" s="55"/>
      <c r="H27" s="55"/>
      <c r="I27" s="55"/>
    </row>
    <row r="28" spans="1:95" ht="18" customHeight="1">
      <c r="A28" s="54"/>
      <c r="B28" s="54"/>
      <c r="C28" s="56" t="s">
        <v>793</v>
      </c>
      <c r="D28" s="54"/>
      <c r="E28" s="54"/>
      <c r="F28" s="54"/>
      <c r="G28" s="55"/>
      <c r="H28" s="55"/>
      <c r="I28" s="55"/>
    </row>
    <row r="29" spans="1:95" ht="8.1" customHeight="1">
      <c r="A29" s="54"/>
      <c r="B29" s="54"/>
      <c r="C29" s="54"/>
      <c r="D29" s="54"/>
      <c r="E29" s="54"/>
      <c r="F29" s="54"/>
      <c r="G29" s="55"/>
      <c r="H29" s="55"/>
      <c r="I29" s="55"/>
    </row>
    <row r="30" spans="1:95" ht="18" customHeight="1">
      <c r="A30" s="54" t="s">
        <v>352</v>
      </c>
      <c r="B30" s="54"/>
      <c r="C30" s="56" t="s">
        <v>353</v>
      </c>
      <c r="D30" s="54"/>
      <c r="E30" s="54"/>
      <c r="F30" s="54"/>
      <c r="G30" s="55"/>
      <c r="H30" s="55"/>
      <c r="I30" s="55"/>
    </row>
    <row r="31" spans="1:95" ht="8.1" customHeight="1">
      <c r="A31" s="54"/>
      <c r="B31" s="54"/>
      <c r="C31" s="54"/>
      <c r="D31" s="54"/>
      <c r="E31" s="54"/>
      <c r="F31" s="54"/>
      <c r="G31" s="55"/>
      <c r="H31" s="55"/>
      <c r="I31" s="55"/>
    </row>
    <row r="32" spans="1:95" ht="18" customHeight="1">
      <c r="A32" s="54"/>
      <c r="B32" s="54"/>
      <c r="C32" s="63"/>
      <c r="D32" s="64" t="s">
        <v>788</v>
      </c>
      <c r="E32" s="54"/>
      <c r="F32" s="54"/>
      <c r="G32" s="55"/>
      <c r="H32" s="55"/>
      <c r="I32" s="55"/>
    </row>
    <row r="33" spans="1:9" ht="18" customHeight="1">
      <c r="A33" s="54"/>
      <c r="B33" s="54"/>
      <c r="C33" s="63"/>
      <c r="D33" s="64" t="s">
        <v>1068</v>
      </c>
      <c r="E33" s="54"/>
      <c r="F33" s="54"/>
      <c r="G33" s="55"/>
      <c r="H33" s="55"/>
      <c r="I33" s="55"/>
    </row>
    <row r="34" spans="1:9" ht="18" customHeight="1">
      <c r="A34" s="54"/>
      <c r="B34" s="54"/>
      <c r="C34" s="63"/>
      <c r="D34" s="64" t="s">
        <v>789</v>
      </c>
      <c r="E34" s="54"/>
      <c r="F34" s="54"/>
      <c r="G34" s="55"/>
      <c r="H34" s="55"/>
      <c r="I34" s="55"/>
    </row>
    <row r="35" spans="1:9" ht="18" customHeight="1">
      <c r="A35" s="54"/>
      <c r="B35" s="54"/>
      <c r="C35" s="63"/>
      <c r="D35" s="64" t="s">
        <v>790</v>
      </c>
      <c r="E35" s="54"/>
      <c r="F35" s="54"/>
      <c r="G35" s="55"/>
      <c r="H35" s="55"/>
      <c r="I35" s="55"/>
    </row>
    <row r="36" spans="1:9" ht="18" customHeight="1">
      <c r="A36" s="54"/>
      <c r="B36" s="54"/>
      <c r="C36" s="63"/>
      <c r="D36" s="64" t="s">
        <v>792</v>
      </c>
      <c r="E36" s="54"/>
      <c r="F36" s="54"/>
      <c r="G36" s="55"/>
      <c r="H36" s="55"/>
      <c r="I36" s="55"/>
    </row>
    <row r="37" spans="1:9" ht="18" customHeight="1">
      <c r="A37" s="54"/>
      <c r="B37" s="54"/>
      <c r="C37" s="63"/>
      <c r="D37" s="64" t="s">
        <v>791</v>
      </c>
      <c r="E37" s="54"/>
      <c r="F37" s="54"/>
      <c r="G37" s="55"/>
      <c r="H37" s="55"/>
      <c r="I37" s="55"/>
    </row>
    <row r="38" spans="1:9" ht="8.1" customHeight="1">
      <c r="A38" s="54"/>
      <c r="B38" s="54"/>
      <c r="C38" s="54"/>
      <c r="D38" s="54"/>
      <c r="E38" s="54"/>
      <c r="F38" s="54"/>
      <c r="G38" s="55"/>
      <c r="H38" s="55"/>
      <c r="I38" s="55"/>
    </row>
    <row r="39" spans="1:9" ht="18" customHeight="1">
      <c r="B39" s="54"/>
      <c r="C39" s="54" t="s">
        <v>321</v>
      </c>
      <c r="D39" s="54"/>
      <c r="E39" s="54"/>
      <c r="F39" s="54"/>
      <c r="G39" s="55"/>
      <c r="H39" s="55"/>
      <c r="I39" s="55"/>
    </row>
    <row r="40" spans="1:9" ht="8.1" customHeight="1">
      <c r="A40" s="54"/>
      <c r="B40" s="54"/>
      <c r="C40" s="54"/>
      <c r="D40" s="54"/>
      <c r="E40" s="54"/>
      <c r="F40" s="54"/>
      <c r="G40" s="55"/>
      <c r="H40" s="55"/>
      <c r="I40" s="55"/>
    </row>
    <row r="41" spans="1:9" ht="18" customHeight="1">
      <c r="B41" s="54"/>
      <c r="C41" s="56" t="s">
        <v>278</v>
      </c>
      <c r="D41" s="54"/>
      <c r="E41" s="54"/>
      <c r="F41" s="54"/>
      <c r="G41" s="55"/>
      <c r="H41" s="55"/>
      <c r="I41" s="55"/>
    </row>
    <row r="42" spans="1:9" ht="18" customHeight="1">
      <c r="B42" s="54"/>
      <c r="C42" s="65" t="s">
        <v>966</v>
      </c>
      <c r="D42" s="54"/>
      <c r="E42" s="54"/>
      <c r="F42" s="54"/>
      <c r="G42" s="55"/>
      <c r="H42" s="55"/>
      <c r="I42" s="55"/>
    </row>
    <row r="43" spans="1:9" ht="14.25">
      <c r="A43" s="54"/>
      <c r="B43" s="54"/>
      <c r="D43" s="54"/>
      <c r="E43" s="54"/>
      <c r="F43" s="54"/>
      <c r="G43" s="55"/>
      <c r="H43" s="55"/>
      <c r="I43" s="55"/>
    </row>
    <row r="44" spans="1:9" ht="14.25">
      <c r="A44" s="54"/>
      <c r="B44" s="54"/>
      <c r="C44" s="54"/>
      <c r="D44" s="54"/>
      <c r="E44" s="54"/>
      <c r="F44" s="54"/>
      <c r="G44" s="55"/>
      <c r="H44" s="55"/>
      <c r="I44" s="55"/>
    </row>
    <row r="45" spans="1:9" ht="17.25" customHeight="1">
      <c r="A45" s="54" t="s">
        <v>236</v>
      </c>
      <c r="B45" s="54"/>
      <c r="C45" s="54"/>
      <c r="D45" s="56" t="str">
        <f>"Landschaftsverband "&amp;IF(Landesteil="Westfalen-Lippe","Westfalen-Lippe","Rheinland")</f>
        <v>Landschaftsverband Rheinland</v>
      </c>
      <c r="E45" s="54"/>
      <c r="F45" s="54"/>
      <c r="G45" s="55"/>
      <c r="H45" s="55"/>
      <c r="I45" s="55"/>
    </row>
    <row r="46" spans="1:9" ht="18" customHeight="1">
      <c r="A46" s="54"/>
      <c r="B46" s="54"/>
      <c r="C46" s="54"/>
      <c r="D46" s="54" t="s">
        <v>348</v>
      </c>
      <c r="E46" s="54"/>
      <c r="F46" s="54"/>
      <c r="G46" s="55"/>
      <c r="H46" s="55"/>
      <c r="I46" s="55"/>
    </row>
    <row r="47" spans="1:9" ht="18" customHeight="1">
      <c r="A47" s="54"/>
      <c r="B47" s="54"/>
      <c r="C47" s="54"/>
      <c r="D47" s="54"/>
      <c r="E47" s="54"/>
      <c r="F47" s="54"/>
      <c r="G47" s="55"/>
      <c r="H47" s="66" t="s">
        <v>742</v>
      </c>
      <c r="I47" s="55"/>
    </row>
    <row r="48" spans="1:9" ht="18" customHeight="1">
      <c r="A48" s="54" t="s">
        <v>748</v>
      </c>
      <c r="B48" s="54"/>
      <c r="C48" s="54"/>
      <c r="D48" s="54"/>
      <c r="E48" s="54"/>
      <c r="F48" s="54"/>
      <c r="G48" s="55"/>
      <c r="H48" s="55"/>
      <c r="I48" s="55"/>
    </row>
    <row r="49" spans="1:9" ht="18" customHeight="1">
      <c r="A49" s="54"/>
      <c r="B49" s="54"/>
      <c r="C49" s="54"/>
      <c r="D49" s="54"/>
      <c r="E49" s="54"/>
      <c r="F49" s="54"/>
      <c r="G49" s="55"/>
      <c r="H49" s="55"/>
      <c r="I49" s="55"/>
    </row>
    <row r="50" spans="1:9" ht="18" customHeight="1">
      <c r="A50" s="54"/>
      <c r="B50" s="54"/>
      <c r="C50" s="54"/>
      <c r="D50" s="54"/>
      <c r="E50" s="54"/>
      <c r="F50" s="54"/>
      <c r="G50" s="55"/>
      <c r="H50" s="55"/>
      <c r="I50" s="55"/>
    </row>
    <row r="51" spans="1:9" ht="18" customHeight="1">
      <c r="A51" s="54"/>
      <c r="B51" s="54"/>
      <c r="C51" s="54"/>
      <c r="D51" s="54"/>
      <c r="E51" s="54"/>
      <c r="F51" s="54"/>
      <c r="G51" s="55"/>
      <c r="H51" s="55"/>
      <c r="I51" s="55"/>
    </row>
    <row r="52" spans="1:9" ht="18" customHeight="1">
      <c r="A52" s="54"/>
      <c r="B52" s="54"/>
      <c r="C52" s="54"/>
      <c r="D52" s="54"/>
      <c r="E52" s="54"/>
      <c r="F52" s="54"/>
      <c r="G52" s="55"/>
      <c r="H52" s="55"/>
      <c r="I52" s="55"/>
    </row>
    <row r="53" spans="1:9" ht="14.25" customHeight="1">
      <c r="A53" s="4623" t="s">
        <v>106</v>
      </c>
      <c r="B53" s="4623"/>
      <c r="C53" s="4623"/>
      <c r="D53" s="4623"/>
      <c r="E53" s="4623"/>
      <c r="F53" s="4623"/>
      <c r="G53" s="4623"/>
      <c r="H53" s="4623"/>
      <c r="I53" s="4623"/>
    </row>
    <row r="54" spans="1:9" ht="14.25" customHeight="1">
      <c r="A54" s="67"/>
      <c r="B54" s="67"/>
      <c r="C54" s="67"/>
      <c r="D54" s="67"/>
      <c r="E54" s="67"/>
      <c r="F54" s="67"/>
      <c r="G54" s="67"/>
      <c r="H54" s="67"/>
    </row>
    <row r="55" spans="1:9" ht="14.25" customHeight="1">
      <c r="A55" s="4641" t="s">
        <v>107</v>
      </c>
      <c r="B55" s="4641"/>
      <c r="C55" s="4641"/>
      <c r="D55" s="4641"/>
      <c r="E55" s="4641"/>
      <c r="F55" s="4641"/>
      <c r="G55" s="4641"/>
      <c r="H55" s="4641"/>
      <c r="I55" s="4641"/>
    </row>
    <row r="56" spans="1:9" ht="14.25" customHeight="1">
      <c r="A56" s="4641" t="s">
        <v>108</v>
      </c>
      <c r="B56" s="4641"/>
      <c r="C56" s="4641"/>
      <c r="D56" s="4641"/>
      <c r="E56" s="4641"/>
      <c r="F56" s="4641"/>
      <c r="G56" s="4641"/>
      <c r="H56" s="4641"/>
      <c r="I56" s="4641"/>
    </row>
    <row r="57" spans="1:9" ht="14.25">
      <c r="A57" s="54"/>
      <c r="B57" s="54"/>
      <c r="C57" s="54"/>
      <c r="D57" s="54"/>
      <c r="E57" s="54"/>
      <c r="F57" s="54"/>
      <c r="G57" s="54"/>
      <c r="H57" s="54"/>
    </row>
    <row r="58" spans="1:9" ht="14.25">
      <c r="A58" s="54" t="str">
        <f>"Gegenstand dieser Vereinbarung ist die Vergütung der stationären Pflegeleistungen, der "</f>
        <v xml:space="preserve">Gegenstand dieser Vereinbarung ist die Vergütung der stationären Pflegeleistungen, der </v>
      </c>
      <c r="B58" s="54"/>
      <c r="C58" s="54"/>
      <c r="D58" s="54"/>
      <c r="E58" s="54"/>
      <c r="F58" s="54"/>
      <c r="G58" s="54"/>
      <c r="H58" s="54"/>
    </row>
    <row r="59" spans="1:9" ht="14.25">
      <c r="A59" s="54" t="s">
        <v>932</v>
      </c>
      <c r="B59" s="54"/>
      <c r="C59" s="54"/>
      <c r="D59" s="54"/>
      <c r="E59" s="54"/>
      <c r="F59" s="54"/>
      <c r="G59" s="54"/>
      <c r="H59" s="54"/>
    </row>
    <row r="60" spans="1:9" ht="14.25">
      <c r="A60" s="54" t="s">
        <v>933</v>
      </c>
      <c r="B60" s="54"/>
      <c r="C60" s="54"/>
      <c r="D60" s="54"/>
      <c r="E60" s="54"/>
      <c r="F60" s="54"/>
      <c r="G60" s="54"/>
      <c r="H60" s="54"/>
    </row>
    <row r="61" spans="1:9" ht="14.25">
      <c r="A61" s="54" t="s">
        <v>934</v>
      </c>
      <c r="B61" s="54"/>
      <c r="C61" s="54"/>
      <c r="D61" s="54"/>
      <c r="E61" s="54"/>
      <c r="F61" s="54"/>
      <c r="G61" s="54"/>
      <c r="H61" s="54"/>
    </row>
    <row r="62" spans="1:9" ht="14.25">
      <c r="A62" s="54" t="s">
        <v>935</v>
      </c>
      <c r="B62" s="54"/>
      <c r="C62" s="54"/>
      <c r="D62" s="54"/>
      <c r="E62" s="54"/>
      <c r="F62" s="54"/>
      <c r="G62" s="54"/>
      <c r="H62" s="54"/>
    </row>
    <row r="63" spans="1:9" ht="14.25">
      <c r="A63" s="54"/>
      <c r="B63" s="54"/>
      <c r="C63" s="54"/>
      <c r="D63" s="54"/>
      <c r="E63" s="54"/>
      <c r="F63" s="54"/>
      <c r="G63" s="54"/>
      <c r="H63" s="54"/>
    </row>
    <row r="64" spans="1:9" ht="14.25">
      <c r="A64" s="54"/>
      <c r="B64" s="54"/>
      <c r="C64" s="54"/>
      <c r="D64" s="54"/>
      <c r="E64" s="54"/>
      <c r="F64" s="54"/>
      <c r="G64" s="54"/>
      <c r="H64" s="54"/>
    </row>
    <row r="65" spans="1:9" ht="15">
      <c r="A65" s="4641" t="s">
        <v>109</v>
      </c>
      <c r="B65" s="4641"/>
      <c r="C65" s="4641"/>
      <c r="D65" s="4641"/>
      <c r="E65" s="4641"/>
      <c r="F65" s="4641"/>
      <c r="G65" s="4641"/>
      <c r="H65" s="4641"/>
      <c r="I65" s="4641"/>
    </row>
    <row r="66" spans="1:9" ht="15">
      <c r="A66" s="4641" t="s">
        <v>281</v>
      </c>
      <c r="B66" s="4641"/>
      <c r="C66" s="4641"/>
      <c r="D66" s="4641"/>
      <c r="E66" s="4641"/>
      <c r="F66" s="4641"/>
      <c r="G66" s="4641"/>
      <c r="H66" s="4641"/>
      <c r="I66" s="4641"/>
    </row>
    <row r="67" spans="1:9" ht="14.25">
      <c r="A67" s="54"/>
      <c r="B67" s="54"/>
      <c r="C67" s="54"/>
      <c r="D67" s="54"/>
      <c r="E67" s="54"/>
      <c r="F67" s="54"/>
      <c r="G67" s="54"/>
      <c r="H67" s="54"/>
    </row>
    <row r="68" spans="1:9" ht="14.25">
      <c r="A68" s="54" t="s">
        <v>79</v>
      </c>
      <c r="B68" s="54" t="s">
        <v>282</v>
      </c>
      <c r="C68" s="54"/>
      <c r="D68" s="54"/>
      <c r="E68" s="54"/>
      <c r="F68" s="54"/>
      <c r="G68" s="54"/>
      <c r="H68" s="54"/>
    </row>
    <row r="69" spans="1:9" ht="14.25">
      <c r="A69" s="54"/>
      <c r="B69" s="54" t="s">
        <v>283</v>
      </c>
      <c r="C69" s="54"/>
      <c r="D69" s="54"/>
      <c r="E69" s="54"/>
      <c r="F69" s="54"/>
      <c r="G69" s="54"/>
      <c r="H69" s="54"/>
    </row>
    <row r="70" spans="1:9" ht="14.25">
      <c r="A70" s="54"/>
      <c r="B70" s="54" t="s">
        <v>284</v>
      </c>
      <c r="C70" s="54"/>
      <c r="D70" s="54"/>
      <c r="E70" s="54"/>
      <c r="F70" s="54"/>
      <c r="G70" s="54"/>
      <c r="H70" s="54"/>
    </row>
    <row r="71" spans="1:9" ht="14.25">
      <c r="A71" s="54"/>
      <c r="B71" s="54"/>
      <c r="C71" s="54"/>
      <c r="D71" s="54"/>
      <c r="E71" s="54"/>
      <c r="F71" s="54"/>
      <c r="G71" s="54"/>
      <c r="H71" s="54"/>
    </row>
    <row r="72" spans="1:9" ht="14.25">
      <c r="A72" s="54" t="s">
        <v>112</v>
      </c>
      <c r="B72" s="54" t="s">
        <v>285</v>
      </c>
      <c r="C72" s="54"/>
      <c r="D72" s="54"/>
      <c r="E72" s="54"/>
      <c r="F72" s="54"/>
      <c r="G72" s="54"/>
      <c r="H72" s="54"/>
    </row>
    <row r="73" spans="1:9" ht="14.25">
      <c r="A73" s="54"/>
      <c r="B73" s="54" t="s">
        <v>286</v>
      </c>
      <c r="C73" s="54"/>
      <c r="D73" s="54"/>
      <c r="E73" s="54"/>
      <c r="F73" s="54"/>
      <c r="G73" s="54"/>
      <c r="H73" s="54"/>
    </row>
    <row r="74" spans="1:9" ht="14.25">
      <c r="A74" s="54"/>
      <c r="B74" s="54" t="s">
        <v>849</v>
      </c>
      <c r="C74" s="54"/>
      <c r="D74" s="54"/>
      <c r="E74" s="54"/>
      <c r="F74" s="54"/>
      <c r="G74" s="54"/>
      <c r="H74" s="54"/>
    </row>
    <row r="75" spans="1:9" ht="14.25">
      <c r="A75" s="54"/>
      <c r="B75" s="54" t="s">
        <v>850</v>
      </c>
      <c r="C75" s="54"/>
      <c r="D75" s="54"/>
      <c r="E75" s="54"/>
      <c r="F75" s="54"/>
      <c r="G75" s="54"/>
      <c r="H75" s="54"/>
    </row>
    <row r="76" spans="1:9" ht="14.25">
      <c r="A76" s="54"/>
      <c r="B76" s="54"/>
      <c r="C76" s="54"/>
      <c r="D76" s="54"/>
      <c r="E76" s="54"/>
      <c r="F76" s="54"/>
      <c r="G76" s="54"/>
      <c r="H76" s="54"/>
    </row>
    <row r="77" spans="1:9" ht="14.25">
      <c r="A77" s="54"/>
      <c r="B77" s="54" t="s">
        <v>848</v>
      </c>
      <c r="C77" s="54"/>
      <c r="D77" s="54"/>
      <c r="E77" s="54"/>
      <c r="F77" s="54"/>
      <c r="G77" s="54"/>
      <c r="H77" s="54"/>
    </row>
    <row r="78" spans="1:9" ht="14.25">
      <c r="A78" s="54"/>
      <c r="B78" s="54" t="s">
        <v>287</v>
      </c>
      <c r="C78" s="54"/>
      <c r="D78" s="54"/>
      <c r="E78" s="54"/>
      <c r="F78" s="54"/>
      <c r="G78" s="54"/>
      <c r="H78" s="54"/>
    </row>
    <row r="79" spans="1:9" ht="14.25">
      <c r="A79" s="54"/>
      <c r="B79" s="54" t="s">
        <v>879</v>
      </c>
      <c r="C79" s="54"/>
      <c r="D79" s="54"/>
      <c r="E79" s="54"/>
      <c r="F79" s="54"/>
      <c r="G79" s="54"/>
      <c r="H79" s="54"/>
    </row>
    <row r="80" spans="1:9" ht="14.25">
      <c r="A80" s="54"/>
      <c r="B80" s="54" t="str">
        <f>"mit Pflegebedürftigen in besonderen Pflegesituationen ist zu gewährleisten."</f>
        <v>mit Pflegebedürftigen in besonderen Pflegesituationen ist zu gewährleisten.</v>
      </c>
      <c r="C80" s="54"/>
      <c r="D80" s="54"/>
      <c r="E80" s="54"/>
      <c r="F80" s="54"/>
      <c r="G80" s="54"/>
      <c r="H80" s="54"/>
    </row>
    <row r="81" spans="1:8" ht="14.25">
      <c r="A81" s="54"/>
      <c r="B81" s="54"/>
      <c r="C81" s="54"/>
      <c r="D81" s="54"/>
      <c r="E81" s="54"/>
      <c r="F81" s="54"/>
      <c r="G81" s="54"/>
      <c r="H81" s="54"/>
    </row>
    <row r="82" spans="1:8" ht="14.25">
      <c r="A82" s="54" t="s">
        <v>113</v>
      </c>
      <c r="B82" s="54" t="s">
        <v>936</v>
      </c>
      <c r="C82" s="54"/>
      <c r="D82" s="54"/>
      <c r="E82" s="54"/>
      <c r="F82" s="54"/>
      <c r="G82" s="54"/>
      <c r="H82" s="54"/>
    </row>
    <row r="83" spans="1:8" ht="14.25">
      <c r="A83" s="54"/>
      <c r="B83" s="54" t="s">
        <v>937</v>
      </c>
      <c r="C83" s="54"/>
      <c r="D83" s="54"/>
      <c r="E83" s="54"/>
      <c r="F83" s="54"/>
      <c r="G83" s="54"/>
      <c r="H83" s="54"/>
    </row>
    <row r="84" spans="1:8" ht="14.25">
      <c r="A84" s="54"/>
      <c r="B84" s="54" t="s">
        <v>938</v>
      </c>
      <c r="C84" s="54"/>
      <c r="D84" s="54"/>
      <c r="E84" s="54"/>
      <c r="F84" s="54"/>
      <c r="G84" s="54"/>
      <c r="H84" s="54"/>
    </row>
    <row r="85" spans="1:8" ht="14.25">
      <c r="A85" s="54"/>
      <c r="B85" s="54"/>
      <c r="C85" s="54"/>
      <c r="D85" s="54"/>
      <c r="E85" s="54"/>
      <c r="F85" s="54"/>
      <c r="G85" s="54"/>
      <c r="H85" s="54"/>
    </row>
    <row r="86" spans="1:8" ht="14.25">
      <c r="A86" s="54"/>
      <c r="B86" s="54" t="s">
        <v>288</v>
      </c>
      <c r="C86" s="54" t="s">
        <v>289</v>
      </c>
      <c r="D86" s="54"/>
      <c r="E86" s="54"/>
      <c r="F86" s="54"/>
      <c r="G86" s="54"/>
      <c r="H86" s="54"/>
    </row>
    <row r="87" spans="1:8" ht="14.25">
      <c r="A87" s="54"/>
      <c r="B87" s="54" t="s">
        <v>288</v>
      </c>
      <c r="C87" s="54" t="s">
        <v>290</v>
      </c>
      <c r="D87" s="54"/>
      <c r="E87" s="54"/>
      <c r="F87" s="54"/>
      <c r="G87" s="54"/>
      <c r="H87" s="54"/>
    </row>
    <row r="88" spans="1:8" ht="14.25">
      <c r="A88" s="54"/>
      <c r="B88" s="54" t="s">
        <v>288</v>
      </c>
      <c r="C88" s="54" t="s">
        <v>291</v>
      </c>
      <c r="D88" s="54"/>
      <c r="E88" s="54"/>
      <c r="F88" s="54"/>
      <c r="G88" s="54"/>
      <c r="H88" s="54"/>
    </row>
    <row r="89" spans="1:8" ht="14.25">
      <c r="A89" s="54"/>
      <c r="B89" s="54" t="s">
        <v>288</v>
      </c>
      <c r="C89" s="54" t="s">
        <v>292</v>
      </c>
      <c r="D89" s="54"/>
      <c r="E89" s="54"/>
      <c r="F89" s="54"/>
      <c r="G89" s="54"/>
      <c r="H89" s="54"/>
    </row>
    <row r="90" spans="1:8" ht="14.25">
      <c r="A90" s="54"/>
      <c r="B90" s="54" t="s">
        <v>288</v>
      </c>
      <c r="C90" s="54" t="s">
        <v>293</v>
      </c>
      <c r="D90" s="54"/>
      <c r="E90" s="54"/>
      <c r="F90" s="54"/>
      <c r="G90" s="54"/>
      <c r="H90" s="54"/>
    </row>
    <row r="91" spans="1:8" ht="14.25">
      <c r="A91" s="54"/>
      <c r="B91" s="54" t="s">
        <v>288</v>
      </c>
      <c r="C91" s="54" t="s">
        <v>294</v>
      </c>
      <c r="D91" s="54"/>
      <c r="E91" s="54"/>
      <c r="F91" s="54"/>
      <c r="G91" s="54"/>
      <c r="H91" s="54"/>
    </row>
    <row r="92" spans="1:8" ht="14.25">
      <c r="A92" s="54"/>
      <c r="B92" s="54" t="s">
        <v>288</v>
      </c>
      <c r="C92" s="54" t="s">
        <v>295</v>
      </c>
      <c r="D92" s="54"/>
      <c r="E92" s="54"/>
      <c r="F92" s="54"/>
      <c r="G92" s="54"/>
      <c r="H92" s="54"/>
    </row>
    <row r="93" spans="1:8" ht="14.25">
      <c r="A93" s="54"/>
      <c r="B93" s="54" t="s">
        <v>288</v>
      </c>
      <c r="C93" s="54" t="s">
        <v>296</v>
      </c>
      <c r="D93" s="54"/>
      <c r="E93" s="54"/>
      <c r="F93" s="54"/>
      <c r="G93" s="54"/>
      <c r="H93" s="54"/>
    </row>
    <row r="94" spans="1:8" ht="14.25">
      <c r="A94" s="54"/>
      <c r="B94" s="54" t="s">
        <v>288</v>
      </c>
      <c r="C94" s="54" t="s">
        <v>297</v>
      </c>
      <c r="D94" s="54"/>
      <c r="E94" s="54"/>
      <c r="F94" s="54"/>
      <c r="G94" s="54"/>
      <c r="H94" s="54"/>
    </row>
    <row r="95" spans="1:8" ht="14.25">
      <c r="A95" s="54"/>
      <c r="B95" s="54" t="s">
        <v>288</v>
      </c>
      <c r="C95" s="54" t="s">
        <v>298</v>
      </c>
      <c r="D95" s="54"/>
      <c r="E95" s="54"/>
      <c r="F95" s="54"/>
      <c r="G95" s="54"/>
      <c r="H95" s="54"/>
    </row>
    <row r="96" spans="1:8" ht="14.25">
      <c r="A96" s="54"/>
      <c r="B96" s="54"/>
      <c r="C96" s="54"/>
      <c r="D96" s="54"/>
      <c r="E96" s="54"/>
      <c r="F96" s="54"/>
      <c r="G96" s="54"/>
      <c r="H96" s="54"/>
    </row>
    <row r="97" spans="1:8" ht="14.25">
      <c r="A97" s="54"/>
      <c r="B97" s="69" t="s">
        <v>974</v>
      </c>
      <c r="C97" s="54"/>
      <c r="D97" s="54"/>
      <c r="E97" s="54"/>
      <c r="F97" s="54"/>
      <c r="G97" s="54"/>
      <c r="H97" s="54"/>
    </row>
    <row r="98" spans="1:8" ht="14.25">
      <c r="A98" s="54"/>
      <c r="B98" s="69" t="s">
        <v>975</v>
      </c>
      <c r="C98" s="54"/>
      <c r="D98" s="54"/>
      <c r="E98" s="54"/>
      <c r="F98" s="54"/>
      <c r="G98" s="54"/>
      <c r="H98" s="54"/>
    </row>
    <row r="99" spans="1:8" ht="14.25">
      <c r="A99" s="54"/>
      <c r="B99" s="69" t="s">
        <v>300</v>
      </c>
      <c r="C99" s="54"/>
      <c r="D99" s="54"/>
      <c r="E99" s="54"/>
      <c r="F99" s="54"/>
      <c r="G99" s="54"/>
      <c r="H99" s="54"/>
    </row>
    <row r="100" spans="1:8" ht="14.25">
      <c r="A100" s="54"/>
      <c r="B100" s="69"/>
      <c r="C100" s="54"/>
      <c r="D100" s="54"/>
      <c r="E100" s="54"/>
      <c r="F100" s="54"/>
      <c r="G100" s="54"/>
      <c r="H100" s="54"/>
    </row>
    <row r="101" spans="1:8" ht="14.25">
      <c r="A101" s="69" t="s">
        <v>279</v>
      </c>
      <c r="B101" s="69" t="s">
        <v>301</v>
      </c>
      <c r="C101" s="69"/>
      <c r="D101" s="69"/>
      <c r="E101" s="69"/>
      <c r="F101" s="69"/>
      <c r="G101" s="69"/>
      <c r="H101" s="69"/>
    </row>
    <row r="102" spans="1:8" ht="14.25">
      <c r="A102" s="69"/>
      <c r="B102" s="69"/>
      <c r="C102" s="69"/>
      <c r="D102" s="69"/>
      <c r="E102" s="69"/>
      <c r="F102" s="69"/>
      <c r="G102" s="69"/>
      <c r="H102" s="69"/>
    </row>
    <row r="103" spans="1:8" ht="14.25">
      <c r="A103" s="69"/>
      <c r="B103" s="463" t="str">
        <f>IF('Copy &amp; Paste'!D133="","",'Copy &amp; Paste'!D133)</f>
        <v>x</v>
      </c>
      <c r="C103" s="70" t="s">
        <v>303</v>
      </c>
      <c r="D103" s="69"/>
      <c r="E103" s="69"/>
      <c r="F103" s="69"/>
      <c r="G103" s="69"/>
      <c r="H103" s="69"/>
    </row>
    <row r="104" spans="1:8" ht="14.25">
      <c r="A104" s="69"/>
      <c r="B104" s="462"/>
      <c r="C104" s="70"/>
      <c r="D104" s="69"/>
      <c r="E104" s="69"/>
      <c r="F104" s="69"/>
      <c r="G104" s="69"/>
      <c r="H104" s="69"/>
    </row>
    <row r="105" spans="1:8" ht="14.25">
      <c r="A105" s="69"/>
      <c r="B105" s="463" t="str">
        <f>IF('Copy &amp; Paste'!C133="","",'Copy &amp; Paste'!C133)</f>
        <v/>
      </c>
      <c r="C105" s="70" t="s">
        <v>302</v>
      </c>
      <c r="E105" s="69"/>
      <c r="F105" s="69"/>
      <c r="G105" s="69"/>
      <c r="H105" s="69"/>
    </row>
    <row r="106" spans="1:8" ht="14.25">
      <c r="A106" s="69"/>
      <c r="B106" s="69"/>
      <c r="C106" s="70"/>
      <c r="E106" s="69"/>
      <c r="F106" s="69"/>
      <c r="G106" s="69"/>
      <c r="H106" s="69"/>
    </row>
    <row r="107" spans="1:8" ht="14.25">
      <c r="A107" s="69"/>
      <c r="B107" s="69"/>
      <c r="C107" s="70"/>
      <c r="E107" s="69"/>
      <c r="F107" s="69"/>
      <c r="G107" s="69"/>
      <c r="H107" s="69"/>
    </row>
    <row r="108" spans="1:8" ht="14.25">
      <c r="A108" s="69"/>
      <c r="B108" s="69"/>
      <c r="C108" s="70"/>
      <c r="E108" s="69"/>
      <c r="F108" s="69"/>
      <c r="G108" s="69"/>
      <c r="H108" s="69"/>
    </row>
    <row r="109" spans="1:8" ht="14.25">
      <c r="A109" s="69"/>
      <c r="B109" s="69"/>
      <c r="C109" s="70"/>
      <c r="E109" s="69"/>
      <c r="F109" s="69"/>
      <c r="G109" s="69"/>
      <c r="H109" s="69"/>
    </row>
    <row r="110" spans="1:8" ht="14.25">
      <c r="A110" s="69"/>
      <c r="B110" s="69"/>
      <c r="C110" s="70"/>
      <c r="E110" s="69"/>
      <c r="F110" s="69"/>
      <c r="G110" s="69"/>
      <c r="H110" s="69"/>
    </row>
    <row r="111" spans="1:8" ht="14.25">
      <c r="A111" s="69"/>
      <c r="B111" s="69"/>
      <c r="C111" s="70"/>
      <c r="E111" s="69"/>
      <c r="F111" s="69"/>
      <c r="G111" s="69"/>
      <c r="H111" s="69"/>
    </row>
    <row r="112" spans="1:8" ht="14.25">
      <c r="A112" s="69"/>
      <c r="B112" s="69"/>
      <c r="C112" s="70"/>
      <c r="E112" s="69"/>
      <c r="F112" s="69"/>
      <c r="G112" s="69"/>
      <c r="H112" s="69"/>
    </row>
    <row r="113" spans="1:9" ht="14.25">
      <c r="A113" s="4623" t="s">
        <v>299</v>
      </c>
      <c r="B113" s="4623"/>
      <c r="C113" s="4623"/>
      <c r="D113" s="4623"/>
      <c r="E113" s="4623"/>
      <c r="F113" s="4623"/>
      <c r="G113" s="4623"/>
      <c r="H113" s="4623"/>
      <c r="I113" s="4623"/>
    </row>
    <row r="114" spans="1:9" ht="14.25">
      <c r="A114" s="2745"/>
      <c r="B114" s="2750"/>
      <c r="C114" s="2750"/>
      <c r="D114" s="2750"/>
      <c r="E114" s="2750"/>
      <c r="F114" s="2750"/>
      <c r="G114" s="2750"/>
      <c r="H114" s="2750"/>
    </row>
    <row r="115" spans="1:9" ht="15">
      <c r="A115" s="4646" t="s">
        <v>115</v>
      </c>
      <c r="B115" s="4646"/>
      <c r="C115" s="4646"/>
      <c r="D115" s="4646"/>
      <c r="E115" s="4646"/>
      <c r="F115" s="4646"/>
      <c r="G115" s="4646"/>
      <c r="H115" s="4646"/>
      <c r="I115" s="4646"/>
    </row>
    <row r="116" spans="1:9" ht="15">
      <c r="A116" s="4646" t="s">
        <v>304</v>
      </c>
      <c r="B116" s="4646"/>
      <c r="C116" s="4646"/>
      <c r="D116" s="4646"/>
      <c r="E116" s="4646"/>
      <c r="F116" s="4646"/>
      <c r="G116" s="4646"/>
      <c r="H116" s="4646"/>
      <c r="I116" s="4646"/>
    </row>
    <row r="117" spans="1:9" ht="15">
      <c r="A117" s="4646" t="s">
        <v>305</v>
      </c>
      <c r="B117" s="4646"/>
      <c r="C117" s="4646"/>
      <c r="D117" s="4646"/>
      <c r="E117" s="4646"/>
      <c r="F117" s="4646"/>
      <c r="G117" s="4646"/>
      <c r="H117" s="4646"/>
      <c r="I117" s="4646"/>
    </row>
    <row r="118" spans="1:9" ht="14.25">
      <c r="A118" s="2745"/>
      <c r="B118" s="2750"/>
      <c r="C118" s="2750"/>
      <c r="D118" s="2750"/>
      <c r="E118" s="2750"/>
      <c r="F118" s="2750"/>
      <c r="G118" s="2750"/>
      <c r="H118" s="2750"/>
    </row>
    <row r="119" spans="1:9" ht="14.25">
      <c r="A119" s="69" t="s">
        <v>988</v>
      </c>
      <c r="B119" s="69"/>
      <c r="C119" s="69"/>
      <c r="D119" s="69"/>
      <c r="E119" s="69"/>
      <c r="F119" s="69"/>
      <c r="G119" s="69"/>
      <c r="H119" s="69"/>
    </row>
    <row r="120" spans="1:9" ht="14.25">
      <c r="A120" s="69" t="s">
        <v>989</v>
      </c>
      <c r="B120" s="69"/>
      <c r="C120" s="69"/>
      <c r="D120" s="69"/>
      <c r="E120" s="69"/>
      <c r="F120" s="69"/>
      <c r="G120" s="69"/>
      <c r="H120" s="69"/>
    </row>
    <row r="121" spans="1:9" ht="15" thickBot="1">
      <c r="A121" s="69"/>
      <c r="B121" s="69"/>
      <c r="C121" s="69"/>
      <c r="D121" s="69"/>
      <c r="E121" s="69"/>
      <c r="F121" s="69"/>
      <c r="G121" s="69"/>
      <c r="H121" s="69"/>
    </row>
    <row r="122" spans="1:9" ht="14.25">
      <c r="A122" s="69"/>
      <c r="B122" s="69"/>
      <c r="C122" s="4664" t="s">
        <v>810</v>
      </c>
      <c r="D122" s="4655" t="s">
        <v>939</v>
      </c>
      <c r="E122" s="4656"/>
      <c r="F122" s="4657"/>
      <c r="G122" s="4664" t="s">
        <v>306</v>
      </c>
      <c r="H122" s="69"/>
    </row>
    <row r="123" spans="1:9" ht="14.25">
      <c r="A123" s="69"/>
      <c r="B123" s="69"/>
      <c r="C123" s="4665"/>
      <c r="D123" s="4658"/>
      <c r="E123" s="4659"/>
      <c r="F123" s="4660"/>
      <c r="G123" s="4665"/>
      <c r="H123" s="69"/>
    </row>
    <row r="124" spans="1:9" ht="15" thickBot="1">
      <c r="A124" s="69"/>
      <c r="B124" s="69"/>
      <c r="C124" s="4666"/>
      <c r="D124" s="4661"/>
      <c r="E124" s="4662"/>
      <c r="F124" s="4663"/>
      <c r="G124" s="4666"/>
      <c r="H124" s="69"/>
    </row>
    <row r="125" spans="1:9" ht="15">
      <c r="A125" s="69"/>
      <c r="B125" s="69"/>
      <c r="C125" s="72">
        <v>1</v>
      </c>
      <c r="D125" s="4667" t="e">
        <f>Protokoll!B14</f>
        <v>#VALUE!</v>
      </c>
      <c r="E125" s="4668"/>
      <c r="F125" s="4669"/>
      <c r="G125" s="13" t="e">
        <f>Protokoll!B16</f>
        <v>#VALUE!</v>
      </c>
      <c r="H125" s="69"/>
    </row>
    <row r="126" spans="1:9" ht="15">
      <c r="A126" s="69"/>
      <c r="B126" s="69"/>
      <c r="C126" s="73">
        <v>2</v>
      </c>
      <c r="D126" s="4667" t="e">
        <f>Protokoll!C14</f>
        <v>#VALUE!</v>
      </c>
      <c r="E126" s="4668"/>
      <c r="F126" s="4669"/>
      <c r="G126" s="13" t="e">
        <f>Protokoll!C16</f>
        <v>#VALUE!</v>
      </c>
      <c r="H126" s="69"/>
    </row>
    <row r="127" spans="1:9" ht="15">
      <c r="A127" s="69"/>
      <c r="B127" s="69"/>
      <c r="C127" s="73">
        <v>3</v>
      </c>
      <c r="D127" s="4667" t="e">
        <f>Protokoll!D14</f>
        <v>#VALUE!</v>
      </c>
      <c r="E127" s="4668"/>
      <c r="F127" s="4669"/>
      <c r="G127" s="13" t="e">
        <f>Protokoll!D16</f>
        <v>#VALUE!</v>
      </c>
      <c r="H127" s="69"/>
    </row>
    <row r="128" spans="1:9" ht="15">
      <c r="A128" s="69"/>
      <c r="B128" s="69"/>
      <c r="C128" s="84">
        <v>4</v>
      </c>
      <c r="D128" s="4670" t="e">
        <f>Protokoll!E14</f>
        <v>#VALUE!</v>
      </c>
      <c r="E128" s="4671"/>
      <c r="F128" s="4672"/>
      <c r="G128" s="26" t="e">
        <f>Protokoll!E16</f>
        <v>#VALUE!</v>
      </c>
      <c r="H128" s="69"/>
    </row>
    <row r="129" spans="1:8" ht="15.75" thickBot="1">
      <c r="A129" s="69"/>
      <c r="B129" s="69"/>
      <c r="C129" s="74">
        <v>5</v>
      </c>
      <c r="D129" s="4673" t="e">
        <f>Protokoll!F14</f>
        <v>#VALUE!</v>
      </c>
      <c r="E129" s="4674"/>
      <c r="F129" s="4675"/>
      <c r="G129" s="25" t="e">
        <f>Protokoll!F16</f>
        <v>#VALUE!</v>
      </c>
      <c r="H129" s="69"/>
    </row>
    <row r="130" spans="1:8" ht="15.75" thickBot="1">
      <c r="A130" s="69"/>
      <c r="B130" s="69"/>
      <c r="C130" s="75" t="s">
        <v>32</v>
      </c>
      <c r="D130" s="4676" t="e">
        <f>SUM(D125:F129)</f>
        <v>#VALUE!</v>
      </c>
      <c r="E130" s="4677"/>
      <c r="F130" s="4677"/>
      <c r="G130" s="27" t="e">
        <f>SUM(G125:G129)</f>
        <v>#VALUE!</v>
      </c>
      <c r="H130" s="69"/>
    </row>
    <row r="131" spans="1:8" ht="14.25">
      <c r="A131" s="69"/>
      <c r="B131" s="69"/>
      <c r="C131" s="69"/>
      <c r="D131" s="69"/>
      <c r="E131" s="69"/>
      <c r="F131" s="69"/>
      <c r="G131" s="69"/>
      <c r="H131" s="69"/>
    </row>
    <row r="132" spans="1:8" ht="14.25">
      <c r="A132" s="69" t="s">
        <v>307</v>
      </c>
      <c r="B132" s="69"/>
      <c r="C132" s="69"/>
      <c r="D132" s="69"/>
      <c r="E132" s="69"/>
      <c r="F132" s="69"/>
      <c r="G132" s="69"/>
      <c r="H132" s="69"/>
    </row>
    <row r="133" spans="1:8" ht="14.25">
      <c r="A133" s="69" t="s">
        <v>308</v>
      </c>
      <c r="B133" s="69"/>
      <c r="C133" s="69"/>
      <c r="D133" s="69" t="s">
        <v>734</v>
      </c>
      <c r="E133" s="69"/>
      <c r="F133" s="69"/>
      <c r="G133" s="69"/>
      <c r="H133" s="69"/>
    </row>
    <row r="134" spans="1:8" ht="14.25">
      <c r="A134" s="69"/>
      <c r="B134" s="69"/>
      <c r="C134" s="69"/>
      <c r="D134" s="69"/>
      <c r="E134" s="69"/>
      <c r="F134" s="69"/>
      <c r="G134" s="69"/>
      <c r="H134" s="69"/>
    </row>
    <row r="135" spans="1:8" ht="15">
      <c r="A135" s="4641" t="s">
        <v>117</v>
      </c>
      <c r="B135" s="4641"/>
      <c r="C135" s="4641"/>
      <c r="D135" s="4641"/>
      <c r="E135" s="4641"/>
      <c r="F135" s="4641"/>
      <c r="G135" s="4641"/>
      <c r="H135" s="4641"/>
    </row>
    <row r="136" spans="1:8" ht="15">
      <c r="A136" s="4641" t="s">
        <v>309</v>
      </c>
      <c r="B136" s="4641"/>
      <c r="C136" s="4641"/>
      <c r="D136" s="4641"/>
      <c r="E136" s="4641"/>
      <c r="F136" s="4641"/>
      <c r="G136" s="4641"/>
      <c r="H136" s="4641"/>
    </row>
    <row r="137" spans="1:8" ht="14.25">
      <c r="A137" s="69"/>
      <c r="B137" s="69"/>
      <c r="C137" s="69"/>
      <c r="D137" s="69"/>
      <c r="E137" s="69"/>
      <c r="F137" s="69"/>
      <c r="G137" s="69"/>
      <c r="H137" s="69"/>
    </row>
    <row r="138" spans="1:8" ht="14.25">
      <c r="A138" s="76" t="s">
        <v>79</v>
      </c>
      <c r="B138" s="69" t="str">
        <f>"Von den "&amp;'Copy &amp; Paste'!$H$11&amp;" Pflegeplätzen werden vorgehalten:"</f>
        <v>Von den  Pflegeplätzen werden vorgehalten:</v>
      </c>
      <c r="C138" s="2750"/>
      <c r="D138" s="2750"/>
      <c r="E138" s="2750"/>
      <c r="F138" s="2750"/>
      <c r="G138" s="2750"/>
      <c r="H138" s="2750"/>
    </row>
    <row r="139" spans="1:8" ht="15">
      <c r="A139" s="2746"/>
      <c r="B139" s="2746"/>
      <c r="C139" s="2746"/>
      <c r="D139" s="2746"/>
      <c r="E139" s="2746"/>
      <c r="F139" s="2746"/>
      <c r="G139" s="2746"/>
      <c r="H139" s="2746"/>
    </row>
    <row r="140" spans="1:8" ht="15">
      <c r="A140" s="2746"/>
      <c r="B140" s="69"/>
      <c r="C140" s="69" t="str">
        <f>IF('Copy &amp; Paste'!$D$128&lt;&gt;0,'Copy &amp; Paste'!D128,"")&amp;IF('Copy &amp; Paste'!$D$128&lt;&gt;0," in Einbettzimmern","")</f>
        <v/>
      </c>
      <c r="D140" s="2746"/>
      <c r="E140" s="2746"/>
      <c r="F140" s="2746"/>
      <c r="G140" s="2746"/>
      <c r="H140" s="2746"/>
    </row>
    <row r="141" spans="1:8" ht="15">
      <c r="A141" s="2746"/>
      <c r="B141" s="69"/>
      <c r="C141" s="69" t="str">
        <f>IF('Copy &amp; Paste'!$D$129&lt;&gt;0,'Copy &amp; Paste'!D129,"")&amp;IF('Copy &amp; Paste'!$D$129&lt;&gt;0," in Zweibettzimmern","")</f>
        <v/>
      </c>
      <c r="D141" s="2746"/>
      <c r="E141" s="2746"/>
      <c r="F141" s="2746"/>
      <c r="G141" s="2746"/>
      <c r="H141" s="2746"/>
    </row>
    <row r="142" spans="1:8" ht="14.25">
      <c r="A142" s="69"/>
      <c r="B142" s="69"/>
      <c r="C142" s="69"/>
      <c r="D142" s="69"/>
      <c r="E142" s="69"/>
      <c r="F142" s="69"/>
      <c r="G142" s="69"/>
      <c r="H142" s="69"/>
    </row>
    <row r="143" spans="1:8" ht="14.25">
      <c r="A143" s="76" t="s">
        <v>112</v>
      </c>
      <c r="B143" s="69" t="s">
        <v>1007</v>
      </c>
      <c r="C143" s="69"/>
      <c r="D143" s="69"/>
      <c r="E143" s="69"/>
      <c r="F143" s="69"/>
      <c r="G143" s="69"/>
      <c r="H143" s="69"/>
    </row>
    <row r="144" spans="1:8" ht="14.25">
      <c r="A144" s="69"/>
      <c r="B144" s="69"/>
      <c r="C144" s="69"/>
      <c r="D144" s="69"/>
      <c r="E144" s="69"/>
      <c r="F144" s="69"/>
      <c r="G144" s="69"/>
      <c r="H144" s="69"/>
    </row>
    <row r="145" spans="1:8" ht="14.25">
      <c r="A145" s="69"/>
      <c r="B145" s="69" t="s">
        <v>734</v>
      </c>
      <c r="C145" s="69"/>
      <c r="D145" s="69"/>
      <c r="E145" s="69"/>
      <c r="F145" s="69"/>
      <c r="G145" s="69"/>
      <c r="H145" s="69"/>
    </row>
    <row r="146" spans="1:8" ht="14.25">
      <c r="A146" s="69"/>
      <c r="B146" s="69"/>
      <c r="C146" s="69"/>
      <c r="D146" s="69"/>
      <c r="E146" s="69"/>
      <c r="F146" s="69"/>
      <c r="G146" s="69"/>
      <c r="H146" s="69"/>
    </row>
    <row r="147" spans="1:8" ht="14.25">
      <c r="A147" s="76" t="s">
        <v>113</v>
      </c>
      <c r="B147" s="69" t="s">
        <v>320</v>
      </c>
      <c r="C147" s="69"/>
      <c r="D147" s="69"/>
      <c r="E147" s="69"/>
      <c r="F147" s="69"/>
      <c r="G147" s="69"/>
      <c r="H147" s="69"/>
    </row>
    <row r="148" spans="1:8" ht="14.25">
      <c r="A148" s="2745"/>
      <c r="B148" s="2750"/>
      <c r="C148" s="2750"/>
      <c r="D148" s="2750"/>
      <c r="E148" s="2750"/>
      <c r="F148" s="2750"/>
      <c r="G148" s="2750"/>
      <c r="H148" s="2750"/>
    </row>
    <row r="149" spans="1:8" ht="15">
      <c r="A149" s="4641" t="s">
        <v>990</v>
      </c>
      <c r="B149" s="4641"/>
      <c r="C149" s="4641"/>
      <c r="D149" s="4641"/>
      <c r="E149" s="4641"/>
      <c r="F149" s="4641"/>
      <c r="G149" s="4641"/>
      <c r="H149" s="4641"/>
    </row>
    <row r="150" spans="1:8" ht="15">
      <c r="A150" s="4641" t="s">
        <v>310</v>
      </c>
      <c r="B150" s="4641"/>
      <c r="C150" s="4641"/>
      <c r="D150" s="4641"/>
      <c r="E150" s="4641"/>
      <c r="F150" s="4641"/>
      <c r="G150" s="4641"/>
      <c r="H150" s="4641"/>
    </row>
    <row r="151" spans="1:8" ht="14.25">
      <c r="A151" s="69"/>
      <c r="B151" s="69"/>
      <c r="C151" s="69"/>
      <c r="D151" s="69"/>
      <c r="E151" s="69"/>
      <c r="F151" s="69"/>
      <c r="G151" s="69"/>
      <c r="H151" s="69"/>
    </row>
    <row r="152" spans="1:8" ht="14.25">
      <c r="A152" s="76" t="s">
        <v>79</v>
      </c>
      <c r="B152" s="69" t="s">
        <v>2106</v>
      </c>
      <c r="C152" s="69"/>
      <c r="D152" s="69"/>
      <c r="E152" s="69"/>
      <c r="F152" s="69"/>
      <c r="G152" s="69"/>
      <c r="H152" s="69"/>
    </row>
    <row r="153" spans="1:8" ht="14.25">
      <c r="A153" s="69"/>
      <c r="B153" s="69" t="e">
        <f>"Ausstattung mit Pflege- und Betreuungspersonal von "&amp;IF('Copy &amp; Paste'!B14="nein",FIXED(Ergebnis!E25+Ergebnis!E26+Ergebnis!E27+Ergebnis!B45,2),FIXED(Pauschal!H31+Pauschal!H32+Pauschal!H33,2))&amp;" Vollzeitkräften im Jahresdurchschnitt"</f>
        <v>#DIV/0!</v>
      </c>
      <c r="C153" s="69"/>
      <c r="D153" s="69"/>
      <c r="E153" s="69"/>
      <c r="F153" s="69"/>
      <c r="G153" s="69"/>
      <c r="H153" s="69"/>
    </row>
    <row r="154" spans="1:8" ht="14.25">
      <c r="A154" s="69"/>
      <c r="B154" s="69" t="s">
        <v>2141</v>
      </c>
      <c r="C154" s="69"/>
      <c r="D154" s="69"/>
      <c r="E154" s="69"/>
      <c r="F154" s="69"/>
      <c r="G154" s="69"/>
      <c r="H154" s="69"/>
    </row>
    <row r="155" spans="1:8" ht="14.25">
      <c r="A155" s="69"/>
      <c r="B155" s="69" t="s">
        <v>2107</v>
      </c>
      <c r="C155" s="69"/>
      <c r="D155" s="69"/>
      <c r="E155" s="69"/>
      <c r="F155" s="69"/>
      <c r="G155" s="69"/>
      <c r="H155" s="69"/>
    </row>
    <row r="156" spans="1:8" s="107" customFormat="1" ht="12.75"/>
    <row r="157" spans="1:8" ht="15">
      <c r="A157" s="69"/>
      <c r="B157" s="69"/>
      <c r="C157" s="100" t="e">
        <f>IF('Copy &amp; Paste'!B14="nein",FIXED(Ergebnis!E25-SUM(Ergebnis!J26,Ergebnis!J28)+Protokoll!C98)&amp;" VK",FIXED(Pauschal!H31,2)&amp;" VK")</f>
        <v>#DIV/0!</v>
      </c>
      <c r="D157" s="98" t="s">
        <v>2108</v>
      </c>
      <c r="E157" s="69"/>
      <c r="F157" s="69"/>
      <c r="G157" s="69"/>
      <c r="H157" s="69"/>
    </row>
    <row r="158" spans="1:8" ht="14.25">
      <c r="A158" s="69"/>
      <c r="B158" s="69"/>
      <c r="C158" s="99"/>
      <c r="D158" s="69" t="s">
        <v>2109</v>
      </c>
      <c r="E158" s="69"/>
      <c r="F158" s="69"/>
      <c r="G158" s="69"/>
      <c r="H158" s="69"/>
    </row>
    <row r="159" spans="1:8" ht="14.25">
      <c r="A159" s="69"/>
      <c r="B159" s="69"/>
      <c r="C159" s="99"/>
      <c r="D159" s="69" t="s">
        <v>2110</v>
      </c>
      <c r="E159" s="69"/>
      <c r="F159" s="69"/>
      <c r="G159" s="69"/>
      <c r="H159" s="69"/>
    </row>
    <row r="160" spans="1:8" ht="14.25">
      <c r="A160" s="69"/>
      <c r="B160" s="69"/>
      <c r="C160" s="69"/>
      <c r="D160" s="69"/>
      <c r="E160" s="69"/>
      <c r="F160" s="69"/>
      <c r="G160" s="69"/>
      <c r="H160" s="69"/>
    </row>
    <row r="161" spans="1:9" ht="15">
      <c r="A161" s="69"/>
      <c r="B161" s="69"/>
      <c r="C161" s="100" t="str">
        <f>IF('Copy &amp; Paste'!B14="nein",FIXED(Ergebnis!E26,2)&amp;" VK",FIXED(Pauschal!H32,2)&amp;" VK")</f>
        <v>0,00 VK</v>
      </c>
      <c r="D161" s="98" t="s">
        <v>2111</v>
      </c>
      <c r="E161" s="69"/>
      <c r="F161" s="69"/>
      <c r="G161" s="69"/>
      <c r="H161" s="69"/>
    </row>
    <row r="162" spans="1:9" ht="15">
      <c r="A162" s="69"/>
      <c r="B162" s="69"/>
      <c r="C162" s="100"/>
      <c r="D162" s="98" t="s">
        <v>2112</v>
      </c>
      <c r="E162" s="69"/>
      <c r="F162" s="69"/>
      <c r="G162" s="69"/>
      <c r="H162" s="69"/>
    </row>
    <row r="163" spans="1:9" ht="15">
      <c r="A163" s="69"/>
      <c r="B163" s="69"/>
      <c r="C163" s="100"/>
      <c r="D163" s="69" t="s">
        <v>2113</v>
      </c>
      <c r="E163" s="69"/>
      <c r="F163" s="69"/>
      <c r="G163" s="69"/>
      <c r="H163" s="69"/>
    </row>
    <row r="164" spans="1:9" ht="15">
      <c r="A164" s="69"/>
      <c r="B164" s="69"/>
      <c r="C164" s="100"/>
      <c r="D164" s="69"/>
      <c r="E164" s="69"/>
      <c r="F164" s="69"/>
      <c r="G164" s="69"/>
      <c r="H164" s="69"/>
    </row>
    <row r="165" spans="1:9" ht="14.25">
      <c r="A165" s="69"/>
      <c r="B165" s="69"/>
      <c r="D165" s="4679" t="e">
        <f>IF(Übergangsregelung!G41="","",Übergangsregelung!G41)+IF('Personalmenge 113c'!G89&gt;0,'Personalmenge 113c'!G89,0)</f>
        <v>#VALUE!</v>
      </c>
      <c r="E165" s="4679"/>
      <c r="F165" s="4679"/>
      <c r="G165" s="4679"/>
      <c r="H165" s="4679"/>
      <c r="I165" s="4679"/>
    </row>
    <row r="166" spans="1:9" ht="14.25">
      <c r="A166" s="69"/>
      <c r="B166" s="69"/>
      <c r="D166" s="4683" t="str">
        <f>IF(ISNUMBER('Personalmenge 113c'!G90),'Personalmenge 113c'!G90,"")</f>
        <v/>
      </c>
      <c r="E166" s="4683"/>
      <c r="F166" s="4683"/>
      <c r="G166" s="4683"/>
      <c r="H166" s="4683"/>
      <c r="I166" s="4683"/>
    </row>
    <row r="167" spans="1:9" ht="14.25">
      <c r="A167" s="69"/>
      <c r="B167" s="69"/>
      <c r="C167" s="69"/>
      <c r="D167" s="69"/>
      <c r="E167" s="69"/>
      <c r="F167" s="69"/>
      <c r="G167" s="69"/>
      <c r="H167" s="69"/>
    </row>
    <row r="168" spans="1:9" ht="15">
      <c r="A168" s="69"/>
      <c r="B168" s="69"/>
      <c r="C168" s="100" t="str">
        <f>IF('Copy &amp; Paste'!B14="nein",FIXED(Ergebnis!E27,2)&amp;" VK",FIXED(Pauschal!H33,2)&amp;" VK")</f>
        <v>0,00 VK</v>
      </c>
      <c r="D168" s="98" t="s">
        <v>2114</v>
      </c>
      <c r="E168" s="69"/>
      <c r="F168" s="69"/>
      <c r="G168" s="69"/>
      <c r="H168" s="69"/>
    </row>
    <row r="169" spans="1:9" ht="14.25">
      <c r="A169" s="69"/>
      <c r="B169" s="69"/>
      <c r="C169" s="69"/>
      <c r="D169" s="69" t="s">
        <v>2115</v>
      </c>
      <c r="E169" s="69"/>
      <c r="F169" s="69"/>
      <c r="G169" s="69"/>
      <c r="H169" s="69"/>
    </row>
    <row r="170" spans="1:9" ht="14.25">
      <c r="A170" s="69"/>
      <c r="B170" s="69"/>
      <c r="C170" s="69"/>
      <c r="D170" s="69"/>
      <c r="E170" s="69"/>
      <c r="F170" s="69"/>
      <c r="G170" s="69"/>
      <c r="H170" s="69"/>
    </row>
    <row r="171" spans="1:9" ht="14.25">
      <c r="A171" s="4645" t="s">
        <v>993</v>
      </c>
      <c r="B171" s="4645"/>
      <c r="C171" s="4645"/>
      <c r="D171" s="4645"/>
      <c r="E171" s="4645"/>
      <c r="F171" s="4645"/>
      <c r="G171" s="4645"/>
      <c r="H171" s="4645"/>
      <c r="I171" s="4645"/>
    </row>
    <row r="172" spans="1:9" ht="14.25">
      <c r="A172" s="69"/>
      <c r="B172" s="69"/>
      <c r="C172" s="69"/>
      <c r="D172" s="69"/>
      <c r="E172" s="69"/>
      <c r="F172" s="69"/>
      <c r="G172" s="69"/>
      <c r="H172" s="69"/>
    </row>
    <row r="173" spans="1:9" ht="14.25">
      <c r="A173" s="69"/>
      <c r="B173" s="69" t="s">
        <v>2396</v>
      </c>
      <c r="C173" s="69"/>
      <c r="D173" s="69"/>
      <c r="E173" s="69"/>
      <c r="F173" s="69"/>
      <c r="G173" s="69"/>
      <c r="H173" s="69"/>
    </row>
    <row r="174" spans="1:9" ht="14.25">
      <c r="A174" s="69"/>
      <c r="B174" s="69" t="s">
        <v>2397</v>
      </c>
      <c r="C174" s="69"/>
      <c r="D174" s="69"/>
      <c r="E174" s="69"/>
      <c r="F174" s="69"/>
      <c r="G174" s="69"/>
      <c r="H174" s="69"/>
    </row>
    <row r="175" spans="1:9" ht="14.25">
      <c r="A175" s="69"/>
      <c r="B175" s="69"/>
      <c r="C175" s="69"/>
      <c r="D175" s="69"/>
      <c r="E175" s="69"/>
      <c r="F175" s="69"/>
      <c r="G175" s="69"/>
      <c r="H175" s="69"/>
    </row>
    <row r="176" spans="1:9" ht="15">
      <c r="A176" s="69"/>
      <c r="B176" s="69"/>
      <c r="C176" s="3467" t="str">
        <f>IF(Ergebnis!E23&gt;0,Ergebnis!E23,"")</f>
        <v/>
      </c>
      <c r="D176" s="98" t="str">
        <f>IF(Ergebnis!E23&gt;0,"Pflegedienstleitung","")</f>
        <v/>
      </c>
      <c r="E176" s="69"/>
      <c r="F176" s="69"/>
      <c r="G176" s="69"/>
      <c r="H176" s="69"/>
    </row>
    <row r="177" spans="1:8" ht="15">
      <c r="A177" s="69"/>
      <c r="B177" s="69"/>
      <c r="C177" s="100"/>
      <c r="D177" s="98"/>
      <c r="E177" s="69"/>
      <c r="F177" s="69"/>
      <c r="G177" s="69"/>
      <c r="H177" s="69"/>
    </row>
    <row r="178" spans="1:8" ht="15">
      <c r="A178" s="69"/>
      <c r="B178" s="69"/>
      <c r="C178" s="3467" t="str">
        <f>IF(Ergebnis!E24,Ergebnis!E24,"")</f>
        <v/>
      </c>
      <c r="D178" s="98" t="str">
        <f>IF(Ergebnis!E24,"Qualitätsbeauftragte/r","")</f>
        <v/>
      </c>
      <c r="E178" s="69"/>
      <c r="F178" s="69"/>
      <c r="G178" s="69"/>
      <c r="H178" s="69"/>
    </row>
    <row r="179" spans="1:8" ht="14.25">
      <c r="A179" s="69"/>
      <c r="B179" s="69"/>
      <c r="C179" s="69"/>
      <c r="D179" s="69"/>
      <c r="E179" s="69"/>
      <c r="F179" s="69"/>
      <c r="G179" s="69"/>
      <c r="H179" s="69"/>
    </row>
    <row r="180" spans="1:8" ht="14.25">
      <c r="A180" s="69"/>
      <c r="B180" s="69" t="s">
        <v>2116</v>
      </c>
      <c r="C180" s="69"/>
      <c r="D180" s="69"/>
      <c r="E180" s="69"/>
      <c r="F180" s="69"/>
      <c r="G180" s="69"/>
      <c r="H180" s="69"/>
    </row>
    <row r="181" spans="1:8" ht="14.25">
      <c r="A181" s="69"/>
      <c r="B181" s="69" t="s">
        <v>2117</v>
      </c>
      <c r="C181" s="69"/>
      <c r="D181" s="69"/>
      <c r="E181" s="69"/>
      <c r="F181" s="69"/>
      <c r="G181" s="69"/>
      <c r="H181" s="69"/>
    </row>
    <row r="182" spans="1:8" ht="14.25">
      <c r="A182" s="69"/>
      <c r="B182" s="69" t="s">
        <v>2118</v>
      </c>
      <c r="C182" s="69"/>
      <c r="D182" s="69"/>
      <c r="E182" s="69"/>
      <c r="F182" s="69"/>
      <c r="G182" s="69"/>
      <c r="H182" s="69"/>
    </row>
    <row r="183" spans="1:8" ht="14.25">
      <c r="A183" s="69"/>
      <c r="B183" s="69" t="s">
        <v>2119</v>
      </c>
      <c r="C183" s="69"/>
      <c r="D183" s="69"/>
      <c r="E183" s="69"/>
      <c r="F183" s="69"/>
      <c r="G183" s="69"/>
      <c r="H183" s="69"/>
    </row>
    <row r="184" spans="1:8" ht="14.25">
      <c r="A184" s="69"/>
      <c r="B184" s="69"/>
      <c r="C184" s="69"/>
      <c r="D184" s="69"/>
      <c r="E184" s="69"/>
      <c r="F184" s="69"/>
      <c r="G184" s="69"/>
      <c r="H184" s="69"/>
    </row>
    <row r="185" spans="1:8" ht="14.25">
      <c r="A185" s="69"/>
      <c r="B185" s="3951" t="s">
        <v>2120</v>
      </c>
      <c r="C185" s="3951"/>
      <c r="D185" s="3951"/>
      <c r="E185" s="3951"/>
      <c r="F185" s="3951"/>
      <c r="G185" s="3951"/>
      <c r="H185" s="3951"/>
    </row>
    <row r="186" spans="1:8" ht="14.25">
      <c r="A186" s="69"/>
      <c r="B186" s="3951" t="s">
        <v>2121</v>
      </c>
      <c r="C186" s="3951"/>
      <c r="D186" s="3951"/>
      <c r="E186" s="3951"/>
      <c r="F186" s="3951"/>
      <c r="G186" s="3951"/>
      <c r="H186" s="3951"/>
    </row>
    <row r="187" spans="1:8" ht="14.25">
      <c r="A187" s="69"/>
      <c r="B187" s="3951"/>
      <c r="C187" s="3951"/>
      <c r="D187" s="3951"/>
      <c r="E187" s="3951"/>
      <c r="F187" s="3951"/>
      <c r="G187" s="3951"/>
      <c r="H187" s="3951"/>
    </row>
    <row r="188" spans="1:8" ht="59.25" customHeight="1">
      <c r="A188" s="69"/>
      <c r="B188" s="4681" t="s">
        <v>1214</v>
      </c>
      <c r="C188" s="4681"/>
      <c r="D188" s="4682" t="s">
        <v>2122</v>
      </c>
      <c r="E188" s="4681"/>
      <c r="F188" s="4682" t="s">
        <v>2123</v>
      </c>
      <c r="G188" s="4681"/>
      <c r="H188" s="3952" t="s">
        <v>2108</v>
      </c>
    </row>
    <row r="189" spans="1:8" ht="14.25">
      <c r="A189" s="69"/>
      <c r="B189" s="4678" t="s">
        <v>1</v>
      </c>
      <c r="C189" s="4678"/>
      <c r="D189" s="4678" t="e">
        <f>'Überleitung 113c'!B99</f>
        <v>#DIV/0!</v>
      </c>
      <c r="E189" s="4678"/>
      <c r="F189" s="4678" t="e">
        <f>'Überleitung 113c'!B100</f>
        <v>#DIV/0!</v>
      </c>
      <c r="G189" s="4678"/>
      <c r="H189" s="3953" t="e">
        <f>'Überleitung 113c'!B101</f>
        <v>#DIV/0!</v>
      </c>
    </row>
    <row r="190" spans="1:8" ht="14.25">
      <c r="A190" s="69"/>
      <c r="B190" s="4678" t="s">
        <v>2</v>
      </c>
      <c r="C190" s="4678"/>
      <c r="D190" s="4678" t="e">
        <f>'Überleitung 113c'!C99</f>
        <v>#DIV/0!</v>
      </c>
      <c r="E190" s="4678"/>
      <c r="F190" s="4678" t="e">
        <f>'Überleitung 113c'!C100</f>
        <v>#DIV/0!</v>
      </c>
      <c r="G190" s="4678"/>
      <c r="H190" s="3953" t="e">
        <f>'Überleitung 113c'!C101</f>
        <v>#DIV/0!</v>
      </c>
    </row>
    <row r="191" spans="1:8" ht="14.25">
      <c r="A191" s="69"/>
      <c r="B191" s="4678" t="s">
        <v>3</v>
      </c>
      <c r="C191" s="4678"/>
      <c r="D191" s="4678" t="e">
        <f>'Überleitung 113c'!D99</f>
        <v>#DIV/0!</v>
      </c>
      <c r="E191" s="4678"/>
      <c r="F191" s="4678" t="e">
        <f>'Überleitung 113c'!D100</f>
        <v>#DIV/0!</v>
      </c>
      <c r="G191" s="4678"/>
      <c r="H191" s="3953" t="e">
        <f>'Überleitung 113c'!D101</f>
        <v>#DIV/0!</v>
      </c>
    </row>
    <row r="192" spans="1:8" ht="14.25">
      <c r="A192" s="69"/>
      <c r="B192" s="4678" t="s">
        <v>4</v>
      </c>
      <c r="C192" s="4678"/>
      <c r="D192" s="4678" t="e">
        <f>'Überleitung 113c'!E99</f>
        <v>#DIV/0!</v>
      </c>
      <c r="E192" s="4678"/>
      <c r="F192" s="4678" t="e">
        <f>'Überleitung 113c'!E100</f>
        <v>#DIV/0!</v>
      </c>
      <c r="G192" s="4678"/>
      <c r="H192" s="3954" t="e">
        <f>'Überleitung 113c'!E101</f>
        <v>#DIV/0!</v>
      </c>
    </row>
    <row r="193" spans="1:9" ht="14.25">
      <c r="A193" s="69"/>
      <c r="B193" s="4678" t="s">
        <v>5</v>
      </c>
      <c r="C193" s="4678"/>
      <c r="D193" s="4678" t="e">
        <f>'Überleitung 113c'!F99</f>
        <v>#DIV/0!</v>
      </c>
      <c r="E193" s="4678"/>
      <c r="F193" s="4678" t="e">
        <f>'Überleitung 113c'!F100</f>
        <v>#DIV/0!</v>
      </c>
      <c r="G193" s="4678"/>
      <c r="H193" s="3954" t="e">
        <f>'Überleitung 113c'!F101</f>
        <v>#DIV/0!</v>
      </c>
    </row>
    <row r="194" spans="1:9" ht="14.25">
      <c r="A194" s="69"/>
      <c r="B194" s="69"/>
      <c r="C194" s="69"/>
      <c r="D194" s="69"/>
      <c r="E194" s="69"/>
      <c r="F194" s="69"/>
      <c r="G194" s="69"/>
      <c r="H194" s="69"/>
    </row>
    <row r="195" spans="1:9" ht="14.25">
      <c r="A195" s="69"/>
      <c r="B195" s="69"/>
      <c r="C195" s="69"/>
      <c r="D195" s="69"/>
      <c r="E195" s="69"/>
      <c r="F195" s="69"/>
      <c r="G195" s="69"/>
      <c r="H195" s="69"/>
    </row>
    <row r="196" spans="1:9" ht="14.25">
      <c r="A196" s="76" t="s">
        <v>112</v>
      </c>
      <c r="B196" s="69" t="s">
        <v>311</v>
      </c>
      <c r="C196" s="69"/>
      <c r="D196" s="69"/>
      <c r="E196" s="69"/>
      <c r="F196" s="69"/>
      <c r="G196" s="69"/>
      <c r="H196" s="69"/>
    </row>
    <row r="197" spans="1:9" ht="14.25">
      <c r="A197" s="69"/>
      <c r="B197" s="69" t="str">
        <f>IF('Copy &amp; Paste'!B14="nein",FIXED(Protokoll!B99,2),FIXED(Pauschal!H34,2)&amp;" VK")&amp;" Kräfte (ABM, BFD, Praktikanten/innen, FSJ, Sonstige), sowie"</f>
        <v>0,00 Kräfte (ABM, BFD, Praktikanten/innen, FSJ, Sonstige), sowie</v>
      </c>
      <c r="C197" s="69"/>
      <c r="D197" s="69"/>
      <c r="E197" s="69"/>
      <c r="F197" s="69"/>
      <c r="G197" s="69"/>
      <c r="H197" s="69"/>
    </row>
    <row r="198" spans="1:9" ht="14.25">
      <c r="A198" s="69"/>
      <c r="B198" s="4651" t="str">
        <f>FIXED(Protokoll!B96,2)&amp;" VK"</f>
        <v>0,00 VK</v>
      </c>
      <c r="C198" s="4651"/>
      <c r="D198" s="69" t="s">
        <v>2124</v>
      </c>
      <c r="E198" s="69"/>
      <c r="F198" s="69"/>
      <c r="G198" s="69"/>
      <c r="H198" s="69"/>
    </row>
    <row r="199" spans="1:9" ht="14.25">
      <c r="A199" s="69"/>
      <c r="B199" s="69"/>
      <c r="C199" s="69"/>
      <c r="D199" s="69"/>
      <c r="E199" s="69"/>
      <c r="F199" s="69"/>
      <c r="G199" s="69"/>
      <c r="H199" s="69"/>
    </row>
    <row r="200" spans="1:9" ht="14.25">
      <c r="A200" s="76" t="s">
        <v>113</v>
      </c>
      <c r="B200" s="69" t="s">
        <v>2125</v>
      </c>
      <c r="C200" s="69"/>
      <c r="D200" s="69"/>
      <c r="E200" s="69"/>
      <c r="F200" s="69"/>
      <c r="G200" s="69"/>
      <c r="H200" s="69"/>
    </row>
    <row r="201" spans="1:9" ht="14.25">
      <c r="A201" s="69"/>
      <c r="B201" s="69" t="s">
        <v>2126</v>
      </c>
      <c r="C201" s="69"/>
      <c r="D201" s="69"/>
      <c r="E201" s="69"/>
      <c r="F201" s="69"/>
      <c r="G201" s="69"/>
      <c r="H201" s="69"/>
    </row>
    <row r="202" spans="1:9" ht="14.25">
      <c r="A202" s="69"/>
      <c r="B202" s="69" t="s">
        <v>2128</v>
      </c>
      <c r="C202" s="69"/>
      <c r="D202" s="69"/>
      <c r="E202" s="69"/>
      <c r="F202" s="69"/>
      <c r="G202" s="69"/>
      <c r="H202" s="69"/>
    </row>
    <row r="203" spans="1:9" ht="14.25">
      <c r="A203" s="69"/>
      <c r="B203" s="69" t="s">
        <v>2127</v>
      </c>
      <c r="C203" s="69"/>
      <c r="D203" s="69"/>
      <c r="E203" s="69"/>
      <c r="F203" s="69"/>
      <c r="G203" s="69"/>
      <c r="H203" s="69"/>
    </row>
    <row r="204" spans="1:9" ht="14.25">
      <c r="A204" s="2745"/>
      <c r="B204" s="2745"/>
      <c r="C204" s="2745"/>
      <c r="D204" s="2745"/>
      <c r="E204" s="2745"/>
      <c r="F204" s="2745"/>
      <c r="G204" s="2745"/>
      <c r="H204" s="2745"/>
    </row>
    <row r="205" spans="1:9" ht="14.25">
      <c r="A205" s="4023" t="e">
        <f>IF(AND(C207="",C208="",C209=""),"","4.")</f>
        <v>#VALUE!</v>
      </c>
      <c r="B205" s="4680" t="e">
        <f>IF(A205="","","Der Bestandsschutz gemäß § 113c Abs. 2 SGB XI beläuft sich auf")</f>
        <v>#VALUE!</v>
      </c>
      <c r="C205" s="4680"/>
      <c r="D205" s="4680"/>
      <c r="E205" s="4680"/>
      <c r="F205" s="4680"/>
      <c r="G205" s="4680"/>
      <c r="H205" s="4680"/>
      <c r="I205" s="3694"/>
    </row>
    <row r="206" spans="1:9" ht="14.25">
      <c r="A206" s="4023"/>
      <c r="B206" s="4024"/>
      <c r="C206" s="4023"/>
      <c r="D206" s="4023"/>
      <c r="E206" s="4023"/>
      <c r="F206" s="4023"/>
      <c r="G206" s="4023"/>
      <c r="H206" s="4023"/>
      <c r="I206" s="3694"/>
    </row>
    <row r="207" spans="1:9" ht="14.25">
      <c r="A207" s="4023"/>
      <c r="B207" s="4024"/>
      <c r="C207" s="4031" t="e">
        <f>IF(AND('Personalmenge 113c'!D80="Bestandsschutz",Ergebnis!E25&gt;'Personalmenge 113c'!F73),"Fachkraftpersonal","")</f>
        <v>#VALUE!</v>
      </c>
      <c r="D207" s="4023"/>
      <c r="E207" s="4023"/>
      <c r="F207" s="4023"/>
      <c r="G207" s="4133" t="e">
        <f>IF(AND('Personalmenge 113c'!D80="Bestandsschutz",Ergebnis!E25&gt;'Personalmenge 113c'!F73),Ergebnis!E25,"")</f>
        <v>#VALUE!</v>
      </c>
      <c r="H207" s="4023"/>
      <c r="I207" s="3694"/>
    </row>
    <row r="208" spans="1:9" ht="14.25">
      <c r="A208" s="4023"/>
      <c r="B208" s="4024"/>
      <c r="C208" s="4031" t="e">
        <f>IF(AND('Personalmenge 113c'!D81="Bestandsschutz",Ergebnis!E26&gt;'Personalmenge 113c'!F74),"Hilfskraftpersonal mit Ausbildung","")</f>
        <v>#VALUE!</v>
      </c>
      <c r="D208" s="4023"/>
      <c r="E208" s="4023"/>
      <c r="F208" s="4023"/>
      <c r="G208" s="4133" t="e">
        <f>IF(AND('Personalmenge 113c'!D81="Bestandsschutz",Ergebnis!E26&gt;'Personalmenge 113c'!F74),Ergebnis!E26,"")</f>
        <v>#VALUE!</v>
      </c>
      <c r="H208" s="4023"/>
      <c r="I208" s="3694"/>
    </row>
    <row r="209" spans="1:9" ht="14.25">
      <c r="A209" s="4023"/>
      <c r="B209" s="4024"/>
      <c r="C209" s="4031" t="e">
        <f>IF(AND('Personalmenge 113c'!D82="Bestandsschutz",Ergebnis!E27&gt;'Personalmenge 113c'!F75),"Hilfskraftpersonal ohne Ausbildung","")</f>
        <v>#VALUE!</v>
      </c>
      <c r="D209" s="4023"/>
      <c r="E209" s="4023"/>
      <c r="F209" s="4023"/>
      <c r="G209" s="4133" t="e">
        <f>IF(AND('Personalmenge 113c'!D82="Bestandsschutz",Ergebnis!E27&gt;'Personalmenge 113c'!F75),Ergebnis!E27,"")</f>
        <v>#VALUE!</v>
      </c>
      <c r="H209" s="4023"/>
      <c r="I209" s="3694"/>
    </row>
    <row r="210" spans="1:9" ht="14.25">
      <c r="A210" s="4023"/>
      <c r="B210" s="4024"/>
      <c r="C210" s="4023"/>
      <c r="D210" s="4023"/>
      <c r="E210" s="4023"/>
      <c r="F210" s="4023"/>
      <c r="G210" s="4023"/>
      <c r="H210" s="4023"/>
      <c r="I210" s="3694"/>
    </row>
    <row r="211" spans="1:9" ht="14.25">
      <c r="A211" s="4023"/>
      <c r="B211" s="4680" t="e">
        <f>IF(A205="","","Die bestandsgeschützten Stellen können in den nachfolgenden Pflegesatzvereinbarungen")</f>
        <v>#VALUE!</v>
      </c>
      <c r="C211" s="4680"/>
      <c r="D211" s="4680"/>
      <c r="E211" s="4680"/>
      <c r="F211" s="4680"/>
      <c r="G211" s="4680"/>
      <c r="H211" s="4680"/>
      <c r="I211" s="3694"/>
    </row>
    <row r="212" spans="1:9" ht="14.25">
      <c r="A212" s="4023"/>
      <c r="B212" s="4680" t="e">
        <f>IF(A205="","","so lange weiter vereinbart werden, bis das Personal nicht mehr vorgehalten wird oder eine")</f>
        <v>#VALUE!</v>
      </c>
      <c r="C212" s="4680"/>
      <c r="D212" s="4680"/>
      <c r="E212" s="4680"/>
      <c r="F212" s="4680"/>
      <c r="G212" s="4680"/>
      <c r="H212" s="4680"/>
      <c r="I212" s="3694"/>
    </row>
    <row r="213" spans="1:9" ht="14.25">
      <c r="A213" s="4023"/>
      <c r="B213" s="4680" t="e">
        <f>IF(A205="","","Vereinbarung dieser Stellen regulär unter Anwendung der Richtwerte nach § 113c Abs. 1")</f>
        <v>#VALUE!</v>
      </c>
      <c r="C213" s="4680"/>
      <c r="D213" s="4680"/>
      <c r="E213" s="4680"/>
      <c r="F213" s="4680"/>
      <c r="G213" s="4680"/>
      <c r="H213" s="4680"/>
      <c r="I213" s="3694"/>
    </row>
    <row r="214" spans="1:9" ht="14.25">
      <c r="A214" s="4023"/>
      <c r="B214" s="4680" t="e">
        <f>IF(A205="","","SGB XI möglich ist.")</f>
        <v>#VALUE!</v>
      </c>
      <c r="C214" s="4680"/>
      <c r="D214" s="4680"/>
      <c r="E214" s="4680"/>
      <c r="F214" s="4680"/>
      <c r="G214" s="4680"/>
      <c r="H214" s="4680"/>
      <c r="I214" s="3694"/>
    </row>
    <row r="215" spans="1:9" s="81" customFormat="1" ht="14.25">
      <c r="A215" s="2745"/>
      <c r="B215" s="2750"/>
      <c r="C215" s="2750"/>
      <c r="D215" s="2750"/>
      <c r="E215" s="2750"/>
      <c r="F215" s="2750"/>
      <c r="G215" s="2750"/>
      <c r="H215" s="2750"/>
    </row>
    <row r="216" spans="1:9" ht="15">
      <c r="A216" s="4641" t="s">
        <v>992</v>
      </c>
      <c r="B216" s="4641"/>
      <c r="C216" s="4641"/>
      <c r="D216" s="4641"/>
      <c r="E216" s="4641"/>
      <c r="F216" s="4641"/>
      <c r="G216" s="4641"/>
      <c r="H216" s="4641"/>
      <c r="I216" s="4641"/>
    </row>
    <row r="217" spans="1:9" s="81" customFormat="1" ht="15">
      <c r="A217" s="4641" t="s">
        <v>110</v>
      </c>
      <c r="B217" s="4641"/>
      <c r="C217" s="4641"/>
      <c r="D217" s="4641"/>
      <c r="E217" s="4641"/>
      <c r="F217" s="4641"/>
      <c r="G217" s="4641"/>
      <c r="H217" s="4641"/>
      <c r="I217" s="4641"/>
    </row>
    <row r="218" spans="1:9" ht="14.25">
      <c r="A218" s="54"/>
      <c r="B218" s="54"/>
      <c r="C218" s="2750"/>
      <c r="D218" s="2750"/>
      <c r="E218" s="2750"/>
      <c r="F218" s="2750"/>
      <c r="G218" s="2750"/>
      <c r="H218" s="2750"/>
    </row>
    <row r="219" spans="1:9" s="81" customFormat="1" ht="14.25">
      <c r="A219" s="77" t="s">
        <v>1362</v>
      </c>
      <c r="B219" s="54" t="s">
        <v>941</v>
      </c>
      <c r="C219" s="54"/>
      <c r="D219" s="54"/>
      <c r="E219" s="54"/>
      <c r="F219" s="54"/>
      <c r="G219" s="54"/>
      <c r="H219" s="54"/>
    </row>
    <row r="220" spans="1:9" ht="14.25">
      <c r="A220" s="54"/>
      <c r="B220" s="54" t="s">
        <v>1020</v>
      </c>
      <c r="C220" s="54"/>
      <c r="D220" s="54"/>
      <c r="E220" s="54"/>
      <c r="F220" s="54"/>
      <c r="G220" s="54"/>
      <c r="H220" s="54"/>
    </row>
    <row r="221" spans="1:9" ht="14.25">
      <c r="A221" s="54"/>
      <c r="B221" s="54"/>
      <c r="C221" s="54"/>
      <c r="D221" s="54"/>
      <c r="E221" s="54"/>
      <c r="F221" s="54"/>
      <c r="G221" s="54"/>
      <c r="H221" s="54"/>
    </row>
    <row r="222" spans="1:9" ht="27.75" customHeight="1">
      <c r="A222" s="54"/>
      <c r="B222" s="54"/>
      <c r="C222" s="65" t="s">
        <v>1214</v>
      </c>
      <c r="D222" s="449" t="s">
        <v>1215</v>
      </c>
      <c r="E222" s="4642" t="s">
        <v>1216</v>
      </c>
      <c r="F222" s="4642"/>
      <c r="G222" s="54"/>
      <c r="H222" s="450" t="s">
        <v>1016</v>
      </c>
    </row>
    <row r="223" spans="1:9" ht="8.1" customHeight="1">
      <c r="A223" s="54"/>
      <c r="B223" s="54"/>
      <c r="C223" s="54"/>
      <c r="D223" s="54"/>
      <c r="E223" s="54"/>
      <c r="F223" s="54"/>
      <c r="G223" s="54"/>
      <c r="H223" s="70"/>
    </row>
    <row r="224" spans="1:9" ht="15">
      <c r="A224" s="54"/>
      <c r="C224" s="54" t="s">
        <v>811</v>
      </c>
      <c r="D224" s="451">
        <v>404000</v>
      </c>
      <c r="E224" s="113" t="e">
        <f>FIXED(Protokoll!$B$25,2)</f>
        <v>#VALUE!</v>
      </c>
      <c r="F224" s="56" t="s">
        <v>929</v>
      </c>
      <c r="H224" s="125" t="e">
        <f>FIXED(E224*30.42,2)&amp;" €"</f>
        <v>#VALUE!</v>
      </c>
    </row>
    <row r="225" spans="1:10" ht="15">
      <c r="A225" s="54"/>
      <c r="C225" s="54" t="s">
        <v>812</v>
      </c>
      <c r="D225" s="451">
        <v>404000</v>
      </c>
      <c r="E225" s="113" t="e">
        <f>FIXED(Protokoll!$C$25,2)</f>
        <v>#VALUE!</v>
      </c>
      <c r="F225" s="56" t="s">
        <v>929</v>
      </c>
      <c r="H225" s="125" t="e">
        <f>FIXED(E225*30.42,2)&amp;" €"</f>
        <v>#VALUE!</v>
      </c>
    </row>
    <row r="226" spans="1:10" ht="15">
      <c r="A226" s="54"/>
      <c r="C226" s="54" t="s">
        <v>813</v>
      </c>
      <c r="D226" s="451">
        <v>404000</v>
      </c>
      <c r="E226" s="113" t="e">
        <f>FIXED(Protokoll!$D$25,2)</f>
        <v>#VALUE!</v>
      </c>
      <c r="F226" s="56" t="s">
        <v>929</v>
      </c>
      <c r="H226" s="125" t="e">
        <f>FIXED(E226*30.42,2)&amp;" €"</f>
        <v>#VALUE!</v>
      </c>
    </row>
    <row r="227" spans="1:10" ht="15">
      <c r="A227" s="54"/>
      <c r="C227" s="54" t="s">
        <v>814</v>
      </c>
      <c r="D227" s="451">
        <v>404000</v>
      </c>
      <c r="E227" s="114" t="e">
        <f>FIXED(Protokoll!$E$25,2)</f>
        <v>#VALUE!</v>
      </c>
      <c r="F227" s="56" t="s">
        <v>929</v>
      </c>
      <c r="H227" s="126" t="e">
        <f>FIXED(E227*30.42,2)&amp;" €"</f>
        <v>#VALUE!</v>
      </c>
    </row>
    <row r="228" spans="1:10" ht="15">
      <c r="A228" s="2745"/>
      <c r="B228" s="2750"/>
      <c r="C228" s="54" t="s">
        <v>815</v>
      </c>
      <c r="D228" s="451">
        <v>404000</v>
      </c>
      <c r="E228" s="114" t="e">
        <f>FIXED(Protokoll!$F$25,2)</f>
        <v>#VALUE!</v>
      </c>
      <c r="F228" s="56" t="s">
        <v>931</v>
      </c>
      <c r="H228" s="126" t="e">
        <f>FIXED(E228*30.42,2)&amp;" €."</f>
        <v>#VALUE!</v>
      </c>
    </row>
    <row r="229" spans="1:10" s="105" customFormat="1" ht="14.25">
      <c r="A229" s="108"/>
      <c r="B229" s="109"/>
      <c r="C229" s="102"/>
      <c r="D229" s="102"/>
      <c r="E229" s="103"/>
      <c r="F229" s="102"/>
      <c r="G229" s="104"/>
      <c r="H229" s="101"/>
    </row>
    <row r="230" spans="1:10" ht="14.25" customHeight="1">
      <c r="A230" s="54"/>
      <c r="B230" s="54" t="s">
        <v>1017</v>
      </c>
      <c r="C230" s="79"/>
      <c r="D230" s="79"/>
      <c r="E230" s="80"/>
      <c r="F230" s="79"/>
      <c r="G230" s="28"/>
      <c r="H230" s="86"/>
    </row>
    <row r="231" spans="1:10" ht="14.25" customHeight="1">
      <c r="A231" s="54"/>
      <c r="B231" s="54" t="s">
        <v>1018</v>
      </c>
      <c r="C231" s="79"/>
      <c r="D231" s="79"/>
      <c r="E231" s="80"/>
      <c r="F231" s="79"/>
      <c r="G231" s="28"/>
      <c r="H231" s="86"/>
    </row>
    <row r="232" spans="1:10" ht="14.25" customHeight="1">
      <c r="A232" s="54"/>
      <c r="B232" s="54"/>
      <c r="C232" s="79"/>
      <c r="D232" s="79"/>
      <c r="E232" s="80"/>
      <c r="F232" s="79"/>
      <c r="G232" s="28"/>
      <c r="H232" s="86"/>
    </row>
    <row r="233" spans="1:10" ht="14.25" customHeight="1">
      <c r="A233" s="4652" t="e">
        <f>FIXED(Protokoll!C36,2)&amp;" €"</f>
        <v>#VALUE!</v>
      </c>
      <c r="B233" s="4652"/>
      <c r="C233" s="4652"/>
      <c r="D233" s="4652"/>
      <c r="E233" s="4652"/>
      <c r="F233" s="4652"/>
      <c r="G233" s="4652"/>
      <c r="H233" s="4652"/>
      <c r="I233" s="4652"/>
      <c r="J233" s="127"/>
    </row>
    <row r="234" spans="1:10" ht="14.25" customHeight="1">
      <c r="A234" s="4650" t="e">
        <f>"(nachrichtlich: durchschnittlich je Berechnungstag "&amp;FIXED(Protokoll!$C$37,2)&amp;" €, bereits in den Pflegesätzen zu Ziffer 1 enthalten)"</f>
        <v>#VALUE!</v>
      </c>
      <c r="B234" s="4650"/>
      <c r="C234" s="4650"/>
      <c r="D234" s="4650"/>
      <c r="E234" s="4650"/>
      <c r="F234" s="4650"/>
      <c r="G234" s="4650"/>
      <c r="H234" s="4650"/>
      <c r="I234" s="4650"/>
      <c r="J234" s="122"/>
    </row>
    <row r="235" spans="1:10" ht="14.25" customHeight="1">
      <c r="A235" s="54"/>
      <c r="B235" s="54"/>
      <c r="C235" s="79"/>
      <c r="D235" s="79"/>
      <c r="E235" s="80"/>
      <c r="F235" s="79"/>
      <c r="G235" s="116"/>
      <c r="H235" s="86"/>
    </row>
    <row r="236" spans="1:10" ht="14.25" hidden="1" customHeight="1">
      <c r="A236" s="54"/>
      <c r="B236" s="54"/>
      <c r="C236" s="79"/>
      <c r="D236" s="79"/>
      <c r="E236" s="80"/>
      <c r="F236" s="79"/>
      <c r="G236" s="106"/>
      <c r="H236" s="86"/>
    </row>
    <row r="237" spans="1:10" ht="14.25" customHeight="1">
      <c r="A237" s="54"/>
      <c r="B237" s="54" t="s">
        <v>2005</v>
      </c>
      <c r="C237" s="79"/>
      <c r="D237" s="79"/>
      <c r="E237" s="80"/>
      <c r="F237" s="79"/>
      <c r="G237" s="106"/>
      <c r="H237" s="86"/>
    </row>
    <row r="238" spans="1:10" ht="14.25" customHeight="1">
      <c r="A238" s="54"/>
      <c r="B238" s="54" t="s">
        <v>2006</v>
      </c>
      <c r="C238" s="79"/>
      <c r="D238" s="79"/>
      <c r="E238" s="80"/>
      <c r="F238" s="79"/>
      <c r="G238" s="106"/>
      <c r="H238" s="86"/>
    </row>
    <row r="239" spans="1:10" ht="14.25" customHeight="1">
      <c r="A239" s="4645" t="s">
        <v>6</v>
      </c>
      <c r="B239" s="4645"/>
      <c r="C239" s="4645"/>
      <c r="D239" s="4645"/>
      <c r="E239" s="4645"/>
      <c r="F239" s="4645"/>
      <c r="G239" s="4645"/>
      <c r="H239" s="4645"/>
      <c r="I239" s="4645"/>
    </row>
    <row r="240" spans="1:10" ht="14.25" customHeight="1">
      <c r="A240" s="54"/>
      <c r="B240" s="54"/>
      <c r="C240" s="79"/>
      <c r="D240" s="79"/>
      <c r="E240" s="80"/>
      <c r="F240" s="79"/>
      <c r="G240" s="106"/>
      <c r="H240" s="86"/>
    </row>
    <row r="241" spans="1:8" ht="14.25" customHeight="1">
      <c r="A241" s="63" t="s">
        <v>1363</v>
      </c>
      <c r="B241" s="54" t="s">
        <v>1364</v>
      </c>
      <c r="C241" s="79"/>
      <c r="D241" s="79"/>
      <c r="E241" s="80"/>
      <c r="F241" s="79"/>
      <c r="G241" s="106"/>
      <c r="H241" s="86"/>
    </row>
    <row r="242" spans="1:8" ht="14.25">
      <c r="A242" s="54"/>
      <c r="B242" s="54" t="s">
        <v>1365</v>
      </c>
      <c r="C242" s="79"/>
      <c r="D242" s="79"/>
      <c r="E242" s="80"/>
      <c r="F242" s="79"/>
      <c r="G242" s="106"/>
      <c r="H242" s="86"/>
    </row>
    <row r="243" spans="1:8" ht="14.25">
      <c r="A243" s="54"/>
      <c r="B243" s="54" t="s">
        <v>1366</v>
      </c>
      <c r="C243" s="79"/>
      <c r="D243" s="79"/>
      <c r="E243" s="80"/>
      <c r="F243" s="79"/>
      <c r="G243" s="106"/>
      <c r="H243" s="86"/>
    </row>
    <row r="244" spans="1:8" ht="14.25">
      <c r="A244" s="54"/>
      <c r="B244" s="54" t="s">
        <v>1367</v>
      </c>
      <c r="C244" s="79"/>
      <c r="D244" s="79"/>
      <c r="E244" s="80"/>
      <c r="F244" s="79"/>
      <c r="G244" s="106"/>
      <c r="H244" s="86"/>
    </row>
    <row r="245" spans="1:8" ht="14.25">
      <c r="A245" s="54"/>
      <c r="B245" s="54" t="s">
        <v>1368</v>
      </c>
      <c r="C245" s="79"/>
      <c r="D245" s="79"/>
      <c r="E245" s="80"/>
      <c r="F245" s="79"/>
      <c r="G245" s="106"/>
      <c r="H245" s="86"/>
    </row>
    <row r="246" spans="1:8" ht="14.25" customHeight="1">
      <c r="A246" s="54"/>
      <c r="B246" s="54" t="s">
        <v>1369</v>
      </c>
      <c r="C246" s="79"/>
      <c r="D246" s="79"/>
      <c r="E246" s="80"/>
      <c r="F246" s="79"/>
      <c r="G246" s="595"/>
      <c r="H246" s="2750"/>
    </row>
    <row r="247" spans="1:8" ht="14.25" customHeight="1">
      <c r="A247" s="54"/>
      <c r="B247" s="54"/>
      <c r="C247" s="79"/>
      <c r="D247" s="79"/>
      <c r="E247" s="80"/>
      <c r="F247" s="79"/>
      <c r="G247" s="595"/>
      <c r="H247" s="2750"/>
    </row>
    <row r="248" spans="1:8" ht="14.25" customHeight="1">
      <c r="A248" s="54"/>
      <c r="B248" s="54"/>
      <c r="C248" s="79"/>
      <c r="D248" s="79"/>
      <c r="E248" s="114" t="e">
        <f>FIXED(Protokoll!$D$25,2)</f>
        <v>#VALUE!</v>
      </c>
      <c r="F248" s="98" t="s">
        <v>929</v>
      </c>
      <c r="G248" s="596" t="s">
        <v>1370</v>
      </c>
      <c r="H248" s="2750"/>
    </row>
    <row r="249" spans="1:8" ht="14.25">
      <c r="A249" s="54"/>
      <c r="B249" s="54"/>
      <c r="C249" s="79"/>
      <c r="D249" s="79"/>
      <c r="E249" s="80"/>
      <c r="F249" s="79"/>
      <c r="G249" s="595"/>
      <c r="H249" s="2750"/>
    </row>
    <row r="250" spans="1:8" ht="14.25">
      <c r="A250" s="54"/>
      <c r="B250" s="54" t="s">
        <v>1371</v>
      </c>
      <c r="C250" s="79"/>
      <c r="D250" s="79"/>
      <c r="E250" s="80"/>
      <c r="F250" s="79"/>
      <c r="G250" s="106"/>
      <c r="H250" s="86"/>
    </row>
    <row r="251" spans="1:8" ht="14.25">
      <c r="A251" s="54"/>
      <c r="B251" s="54" t="s">
        <v>1372</v>
      </c>
      <c r="C251" s="79"/>
      <c r="D251" s="79"/>
      <c r="E251" s="80"/>
      <c r="F251" s="79"/>
      <c r="G251" s="106"/>
      <c r="H251" s="86"/>
    </row>
    <row r="252" spans="1:8" ht="14.25">
      <c r="A252" s="54"/>
      <c r="B252" s="54"/>
      <c r="C252" s="79"/>
      <c r="D252" s="79"/>
      <c r="E252" s="80"/>
      <c r="F252" s="79"/>
      <c r="G252" s="106"/>
      <c r="H252" s="86"/>
    </row>
    <row r="253" spans="1:8" ht="14.25">
      <c r="A253" s="63" t="s">
        <v>1408</v>
      </c>
      <c r="B253" s="54" t="s">
        <v>2015</v>
      </c>
      <c r="C253" s="79"/>
      <c r="D253" s="79"/>
      <c r="E253" s="80"/>
      <c r="F253" s="79"/>
      <c r="G253" s="106"/>
      <c r="H253" s="86"/>
    </row>
    <row r="254" spans="1:8" ht="14.25">
      <c r="A254" s="54"/>
      <c r="B254" s="54" t="s">
        <v>2016</v>
      </c>
      <c r="C254" s="79"/>
      <c r="D254" s="79"/>
      <c r="E254" s="80"/>
      <c r="F254" s="79"/>
      <c r="G254" s="106"/>
      <c r="H254" s="86"/>
    </row>
    <row r="255" spans="1:8" ht="14.25">
      <c r="A255" s="54"/>
      <c r="B255" s="54" t="s">
        <v>2017</v>
      </c>
      <c r="C255" s="79"/>
      <c r="D255" s="79"/>
      <c r="E255" s="80"/>
      <c r="F255" s="79"/>
      <c r="G255" s="106"/>
      <c r="H255" s="86"/>
    </row>
    <row r="256" spans="1:8" ht="14.25">
      <c r="A256" s="54"/>
      <c r="B256" s="54" t="s">
        <v>2018</v>
      </c>
      <c r="C256" s="79"/>
      <c r="D256" s="79"/>
      <c r="E256" s="80"/>
      <c r="F256" s="79"/>
      <c r="G256" s="106"/>
      <c r="H256" s="86"/>
    </row>
    <row r="257" spans="1:14" ht="14.25">
      <c r="A257" s="54"/>
      <c r="B257" s="54" t="s">
        <v>2019</v>
      </c>
      <c r="C257" s="79"/>
      <c r="D257" s="79"/>
      <c r="E257" s="80"/>
      <c r="F257" s="79"/>
      <c r="G257" s="106"/>
      <c r="H257" s="86"/>
    </row>
    <row r="258" spans="1:14" ht="14.25">
      <c r="A258" s="54"/>
      <c r="B258" s="54" t="s">
        <v>2020</v>
      </c>
      <c r="C258" s="79"/>
      <c r="D258" s="79"/>
      <c r="E258" s="80"/>
      <c r="F258" s="79"/>
      <c r="G258" s="106"/>
      <c r="H258" s="86"/>
    </row>
    <row r="259" spans="1:14" ht="14.25">
      <c r="A259" s="54"/>
      <c r="B259" s="54"/>
      <c r="C259" s="79"/>
      <c r="D259" s="79"/>
      <c r="E259" s="80"/>
      <c r="F259" s="79"/>
      <c r="G259" s="106"/>
      <c r="H259" s="86"/>
    </row>
    <row r="260" spans="1:14" ht="14.25">
      <c r="A260" s="77" t="s">
        <v>1429</v>
      </c>
      <c r="B260" s="54" t="s">
        <v>2026</v>
      </c>
      <c r="C260" s="79"/>
      <c r="D260" s="79"/>
      <c r="E260" s="80"/>
      <c r="F260" s="79"/>
      <c r="G260" s="106"/>
      <c r="H260" s="86"/>
    </row>
    <row r="261" spans="1:14" ht="14.25">
      <c r="A261" s="54"/>
      <c r="B261" s="54" t="s">
        <v>2027</v>
      </c>
      <c r="C261" s="79"/>
      <c r="D261" s="79"/>
      <c r="E261" s="80"/>
      <c r="F261" s="79"/>
      <c r="G261" s="106"/>
      <c r="H261" s="86"/>
    </row>
    <row r="262" spans="1:14" ht="14.25">
      <c r="A262" s="54"/>
      <c r="B262" s="54" t="s">
        <v>2028</v>
      </c>
      <c r="C262" s="79"/>
      <c r="D262" s="79"/>
      <c r="E262" s="80"/>
      <c r="F262" s="79"/>
      <c r="G262" s="106"/>
      <c r="H262" s="86"/>
    </row>
    <row r="263" spans="1:14" ht="14.25">
      <c r="A263" s="54"/>
      <c r="B263" s="54"/>
      <c r="C263" s="79"/>
      <c r="D263" s="79"/>
      <c r="E263" s="80"/>
      <c r="F263" s="79"/>
      <c r="G263" s="106"/>
      <c r="H263" s="86"/>
    </row>
    <row r="264" spans="1:14" s="55" customFormat="1" ht="15">
      <c r="A264" s="54"/>
      <c r="B264" s="54"/>
      <c r="C264" s="65"/>
      <c r="D264" s="65"/>
      <c r="E264" s="3248" t="e">
        <f>Ergebnis!H28</f>
        <v>#VALUE!</v>
      </c>
      <c r="F264" s="3249" t="s">
        <v>929</v>
      </c>
      <c r="G264" s="3250" t="s">
        <v>2032</v>
      </c>
      <c r="H264" s="3251" t="str">
        <f>(Ergebnis!E28)&amp;" VK Auszubildende(n)"</f>
        <v>0 VK Auszubildende(n)</v>
      </c>
      <c r="N264" s="3252"/>
    </row>
    <row r="265" spans="1:14" ht="14.25">
      <c r="A265" s="54"/>
      <c r="B265" s="54"/>
      <c r="C265" s="79"/>
      <c r="D265" s="79"/>
      <c r="E265" s="80"/>
      <c r="F265" s="79"/>
      <c r="G265" s="106"/>
      <c r="H265" s="86"/>
    </row>
    <row r="266" spans="1:14" ht="14.25">
      <c r="A266" s="54"/>
      <c r="B266" s="54" t="s">
        <v>2029</v>
      </c>
      <c r="C266" s="79"/>
      <c r="D266" s="79"/>
      <c r="E266" s="80"/>
      <c r="F266" s="79"/>
      <c r="G266" s="106"/>
      <c r="H266" s="86"/>
    </row>
    <row r="267" spans="1:14" ht="14.25">
      <c r="A267" s="54"/>
      <c r="B267" s="54" t="s">
        <v>2030</v>
      </c>
      <c r="C267" s="79"/>
      <c r="D267" s="79"/>
      <c r="E267" s="80"/>
      <c r="F267" s="79"/>
      <c r="G267" s="106"/>
      <c r="H267" s="86"/>
    </row>
    <row r="268" spans="1:14" ht="14.25">
      <c r="A268" s="54"/>
      <c r="B268" s="54" t="s">
        <v>2031</v>
      </c>
      <c r="C268" s="79"/>
      <c r="D268" s="79"/>
      <c r="E268" s="80"/>
      <c r="F268" s="79"/>
      <c r="G268" s="106"/>
      <c r="H268" s="86"/>
    </row>
    <row r="269" spans="1:14" ht="14.25">
      <c r="A269" s="54"/>
      <c r="B269" s="54"/>
      <c r="C269" s="79"/>
      <c r="D269" s="79"/>
      <c r="E269" s="80"/>
      <c r="F269" s="79"/>
      <c r="G269" s="106"/>
      <c r="H269" s="86"/>
    </row>
    <row r="270" spans="1:14" ht="14.25">
      <c r="A270" s="54"/>
      <c r="B270" s="54"/>
      <c r="C270" s="79"/>
      <c r="D270" s="79"/>
      <c r="E270" s="80"/>
      <c r="F270" s="79"/>
      <c r="G270" s="106"/>
      <c r="H270" s="86"/>
    </row>
    <row r="271" spans="1:14" ht="14.25">
      <c r="A271" s="4645"/>
      <c r="B271" s="4645"/>
      <c r="C271" s="4645"/>
      <c r="D271" s="4645"/>
      <c r="E271" s="4645"/>
      <c r="F271" s="4645"/>
      <c r="G271" s="4645"/>
      <c r="H271" s="4645"/>
      <c r="I271" s="4645"/>
    </row>
    <row r="272" spans="1:14" ht="14.25">
      <c r="A272" s="54"/>
      <c r="B272" s="54"/>
      <c r="C272" s="79"/>
      <c r="D272" s="79"/>
      <c r="E272" s="80"/>
      <c r="F272" s="79"/>
      <c r="G272" s="106"/>
      <c r="H272" s="86"/>
    </row>
    <row r="273" spans="1:8" ht="14.25">
      <c r="A273" s="54"/>
      <c r="B273" s="54"/>
      <c r="C273" s="79"/>
      <c r="D273" s="79"/>
      <c r="E273" s="80"/>
      <c r="F273" s="79"/>
      <c r="G273" s="106"/>
      <c r="H273" s="86"/>
    </row>
    <row r="274" spans="1:8" ht="14.25">
      <c r="A274" s="63" t="s">
        <v>112</v>
      </c>
      <c r="B274" s="54" t="s">
        <v>1021</v>
      </c>
      <c r="C274" s="79"/>
      <c r="D274" s="79"/>
      <c r="E274" s="80"/>
      <c r="F274" s="79"/>
      <c r="G274" s="28"/>
      <c r="H274" s="87"/>
    </row>
    <row r="275" spans="1:8" ht="14.25">
      <c r="A275" s="63"/>
      <c r="B275" s="54"/>
      <c r="C275" s="79"/>
      <c r="D275" s="79"/>
      <c r="E275" s="80"/>
      <c r="F275" s="79"/>
      <c r="G275" s="28"/>
      <c r="H275" s="87"/>
    </row>
    <row r="276" spans="1:8" ht="14.25">
      <c r="A276" s="63"/>
      <c r="B276" s="54"/>
      <c r="C276" s="79"/>
      <c r="D276" s="79"/>
      <c r="E276" s="128" t="s">
        <v>1015</v>
      </c>
      <c r="F276" s="79"/>
      <c r="G276" s="28"/>
      <c r="H276" s="129" t="s">
        <v>1016</v>
      </c>
    </row>
    <row r="277" spans="1:8" ht="14.25">
      <c r="A277" s="54"/>
      <c r="C277" s="54"/>
      <c r="D277" s="54"/>
      <c r="F277" s="54"/>
      <c r="G277" s="9"/>
      <c r="H277" s="54"/>
    </row>
    <row r="278" spans="1:8" ht="15">
      <c r="A278" s="54"/>
      <c r="C278" s="54" t="s">
        <v>238</v>
      </c>
      <c r="D278" s="82"/>
      <c r="E278" s="114" t="e">
        <f>FIXED(Protokoll!$B$26,2)</f>
        <v>#VALUE!</v>
      </c>
      <c r="F278" s="56" t="s">
        <v>929</v>
      </c>
      <c r="G278" s="113"/>
      <c r="H278" s="126" t="e">
        <f>FIXED(E278*30.42,2)&amp;" €"</f>
        <v>#VALUE!</v>
      </c>
    </row>
    <row r="279" spans="1:8" ht="15">
      <c r="A279" s="54"/>
      <c r="B279" s="82"/>
      <c r="C279" s="54" t="s">
        <v>239</v>
      </c>
      <c r="D279" s="82"/>
      <c r="E279" s="113" t="e">
        <f>FIXED(Protokoll!$B$27,2)</f>
        <v>#VALUE!</v>
      </c>
      <c r="F279" s="56" t="s">
        <v>931</v>
      </c>
      <c r="G279" s="115"/>
      <c r="H279" s="125" t="e">
        <f>FIXED(E279*30.42,2)&amp;" €."</f>
        <v>#VALUE!</v>
      </c>
    </row>
    <row r="280" spans="1:8" ht="14.25">
      <c r="A280" s="2745"/>
      <c r="B280" s="2750"/>
      <c r="C280" s="54"/>
      <c r="D280" s="54"/>
      <c r="F280" s="54"/>
      <c r="G280" s="9"/>
      <c r="H280" s="54"/>
    </row>
    <row r="281" spans="1:8" ht="14.25">
      <c r="A281" s="54"/>
      <c r="B281" s="82" t="s">
        <v>313</v>
      </c>
      <c r="C281" s="54"/>
      <c r="D281" s="54"/>
      <c r="F281" s="54"/>
      <c r="G281" s="9"/>
      <c r="H281" s="54"/>
    </row>
    <row r="282" spans="1:8" ht="14.25">
      <c r="A282" s="54"/>
      <c r="B282" s="82" t="s">
        <v>314</v>
      </c>
      <c r="C282" s="54"/>
      <c r="D282" s="54"/>
      <c r="F282" s="54"/>
      <c r="G282" s="9"/>
      <c r="H282" s="54"/>
    </row>
    <row r="283" spans="1:8" ht="14.25">
      <c r="A283" s="54"/>
      <c r="B283" s="82" t="s">
        <v>315</v>
      </c>
      <c r="C283" s="54"/>
      <c r="D283" s="54"/>
      <c r="F283" s="54"/>
      <c r="G283" s="9"/>
      <c r="H283" s="54"/>
    </row>
    <row r="284" spans="1:8" ht="14.25">
      <c r="A284" s="54"/>
      <c r="B284" s="82" t="s">
        <v>316</v>
      </c>
      <c r="C284" s="2750"/>
      <c r="D284" s="2750"/>
      <c r="E284" s="2750"/>
      <c r="F284" s="2750"/>
      <c r="G284" s="2750"/>
      <c r="H284" s="2750"/>
    </row>
    <row r="285" spans="1:8" ht="14.25">
      <c r="A285" s="54"/>
      <c r="B285" s="82"/>
      <c r="C285" s="2750"/>
      <c r="D285" s="2750"/>
      <c r="E285" s="2750"/>
      <c r="F285" s="2750"/>
      <c r="G285" s="2750"/>
      <c r="H285" s="2750"/>
    </row>
    <row r="286" spans="1:8" ht="14.25">
      <c r="A286" s="63" t="s">
        <v>113</v>
      </c>
      <c r="B286" s="82" t="s">
        <v>1424</v>
      </c>
      <c r="C286" s="2750"/>
      <c r="D286" s="2750"/>
      <c r="E286" s="2750"/>
      <c r="F286" s="2750"/>
      <c r="G286" s="2750"/>
      <c r="H286" s="2750"/>
    </row>
    <row r="287" spans="1:8" ht="14.25">
      <c r="A287" s="54"/>
      <c r="B287" s="82" t="s">
        <v>1418</v>
      </c>
      <c r="C287" s="2750"/>
      <c r="D287" s="2750"/>
      <c r="E287" s="2750"/>
      <c r="F287" s="2750"/>
      <c r="G287" s="2750"/>
      <c r="H287" s="2750"/>
    </row>
    <row r="288" spans="1:8" ht="14.25">
      <c r="A288" s="54"/>
      <c r="B288" s="82" t="s">
        <v>1419</v>
      </c>
      <c r="C288" s="2750"/>
      <c r="D288" s="2750"/>
      <c r="E288" s="2750"/>
      <c r="F288" s="2750"/>
      <c r="G288" s="2750"/>
      <c r="H288" s="2750"/>
    </row>
    <row r="289" spans="1:16" ht="14.25">
      <c r="A289" s="54"/>
      <c r="B289" s="82" t="s">
        <v>1420</v>
      </c>
      <c r="C289" s="2750"/>
      <c r="D289" s="2750"/>
      <c r="E289" s="2750"/>
      <c r="F289" s="2750"/>
      <c r="G289" s="2750"/>
      <c r="H289" s="2750"/>
    </row>
    <row r="290" spans="1:16" ht="14.25">
      <c r="A290" s="54"/>
      <c r="B290" s="82" t="s">
        <v>1421</v>
      </c>
      <c r="C290" s="2750"/>
      <c r="D290" s="2750"/>
      <c r="E290" s="2750"/>
      <c r="F290" s="2750"/>
      <c r="G290" s="2750"/>
      <c r="H290" s="2750"/>
    </row>
    <row r="291" spans="1:16" ht="14.25" customHeight="1">
      <c r="A291" s="54"/>
      <c r="B291" s="82" t="s">
        <v>1423</v>
      </c>
      <c r="C291" s="2750"/>
      <c r="D291" s="2750"/>
      <c r="E291" s="2750"/>
      <c r="F291" s="2750"/>
      <c r="G291" s="2750"/>
      <c r="H291" s="2750"/>
      <c r="I291" s="54"/>
      <c r="J291" s="54"/>
      <c r="K291" s="54"/>
      <c r="L291" s="54"/>
      <c r="M291" s="54"/>
      <c r="N291" s="54"/>
      <c r="O291" s="54"/>
      <c r="P291" s="54"/>
    </row>
    <row r="292" spans="1:16" ht="14.25" customHeight="1">
      <c r="A292" s="54"/>
      <c r="B292" s="82" t="s">
        <v>1422</v>
      </c>
      <c r="C292" s="2750"/>
      <c r="D292" s="2750"/>
      <c r="E292" s="2750"/>
      <c r="F292" s="2750"/>
      <c r="G292" s="2750"/>
      <c r="H292" s="2750"/>
      <c r="I292" s="56"/>
      <c r="J292" s="54"/>
      <c r="K292" s="54"/>
      <c r="L292" s="54"/>
      <c r="M292" s="54"/>
      <c r="N292" s="54"/>
      <c r="O292" s="54"/>
      <c r="P292" s="54"/>
    </row>
    <row r="293" spans="1:16" ht="14.25" customHeight="1">
      <c r="A293" s="54"/>
      <c r="B293" s="82"/>
      <c r="C293" s="2851"/>
      <c r="D293" s="2851"/>
      <c r="E293" s="2851"/>
      <c r="F293" s="2851"/>
      <c r="G293" s="2851"/>
      <c r="H293" s="2851"/>
      <c r="I293" s="54"/>
      <c r="J293" s="54"/>
      <c r="K293" s="54"/>
      <c r="L293" s="54"/>
      <c r="M293" s="54"/>
      <c r="N293" s="54"/>
      <c r="O293" s="54"/>
      <c r="P293" s="54"/>
    </row>
    <row r="294" spans="1:16" ht="14.25">
      <c r="A294" s="54"/>
      <c r="B294" s="82" t="s">
        <v>1027</v>
      </c>
      <c r="C294" s="2750"/>
      <c r="D294" s="2750"/>
      <c r="E294" s="2750"/>
      <c r="F294" s="2750"/>
      <c r="G294" s="2750"/>
      <c r="H294" s="2750"/>
      <c r="I294" s="54"/>
      <c r="J294" s="54"/>
      <c r="K294" s="54"/>
      <c r="L294" s="54"/>
      <c r="M294" s="54"/>
      <c r="N294" s="54"/>
      <c r="O294" s="54"/>
      <c r="P294" s="54"/>
    </row>
    <row r="295" spans="1:16" ht="14.25">
      <c r="A295" s="54"/>
      <c r="B295" s="82" t="s">
        <v>1022</v>
      </c>
      <c r="C295" s="2750"/>
      <c r="D295" s="2750"/>
      <c r="E295" s="2750"/>
      <c r="F295" s="2750"/>
      <c r="G295" s="2750"/>
      <c r="H295" s="2750"/>
      <c r="I295" s="54"/>
      <c r="J295" s="54"/>
      <c r="K295" s="54"/>
      <c r="L295" s="54"/>
      <c r="M295" s="54"/>
      <c r="N295" s="54"/>
      <c r="O295" s="54"/>
      <c r="P295" s="54"/>
    </row>
    <row r="296" spans="1:16" ht="14.25" customHeight="1">
      <c r="A296" s="54"/>
      <c r="B296" s="82" t="s">
        <v>1023</v>
      </c>
      <c r="C296" s="2750"/>
      <c r="D296" s="2750"/>
      <c r="E296" s="2750"/>
      <c r="F296" s="2750"/>
      <c r="G296" s="2750"/>
      <c r="H296" s="2750"/>
      <c r="I296" s="54"/>
      <c r="J296" s="54"/>
      <c r="K296" s="54"/>
      <c r="L296" s="54"/>
      <c r="M296" s="54"/>
      <c r="N296" s="54"/>
      <c r="O296" s="54"/>
      <c r="P296" s="54"/>
    </row>
    <row r="297" spans="1:16" ht="14.25" customHeight="1">
      <c r="A297" s="54"/>
      <c r="B297" s="82" t="s">
        <v>1025</v>
      </c>
      <c r="C297" s="2750"/>
      <c r="D297" s="2750"/>
      <c r="E297" s="2750"/>
      <c r="F297" s="2750"/>
      <c r="G297" s="2750"/>
      <c r="H297" s="2750"/>
      <c r="I297" s="54"/>
      <c r="J297" s="54"/>
      <c r="K297" s="54"/>
      <c r="L297" s="54"/>
      <c r="M297" s="54"/>
      <c r="N297" s="54"/>
      <c r="O297" s="54"/>
      <c r="P297" s="54"/>
    </row>
    <row r="298" spans="1:16" ht="14.25" customHeight="1">
      <c r="A298" s="54"/>
      <c r="B298" s="82" t="s">
        <v>1026</v>
      </c>
      <c r="C298" s="2750"/>
      <c r="D298" s="2750"/>
      <c r="E298" s="2750"/>
      <c r="F298" s="2750"/>
      <c r="G298" s="2750"/>
      <c r="H298" s="2750"/>
      <c r="I298" s="54"/>
      <c r="J298" s="54"/>
      <c r="K298" s="54"/>
      <c r="L298" s="54"/>
      <c r="M298" s="54"/>
      <c r="N298" s="54"/>
      <c r="O298" s="54"/>
      <c r="P298" s="54"/>
    </row>
    <row r="299" spans="1:16" ht="14.25" customHeight="1">
      <c r="A299" s="4645" t="s">
        <v>7</v>
      </c>
      <c r="B299" s="4645"/>
      <c r="C299" s="4645"/>
      <c r="D299" s="4645"/>
      <c r="E299" s="4645"/>
      <c r="F299" s="4645"/>
      <c r="G299" s="4645"/>
      <c r="H299" s="4645"/>
      <c r="I299" s="4645"/>
      <c r="J299" s="54"/>
      <c r="K299" s="54"/>
      <c r="L299" s="54"/>
      <c r="M299" s="54"/>
      <c r="N299" s="54"/>
      <c r="O299" s="54"/>
      <c r="P299" s="54"/>
    </row>
    <row r="300" spans="1:16" ht="14.25" customHeight="1">
      <c r="A300" s="54"/>
      <c r="B300" s="54"/>
      <c r="C300" s="82"/>
      <c r="D300" s="54"/>
      <c r="E300" s="8"/>
      <c r="F300" s="54"/>
      <c r="G300" s="83"/>
      <c r="H300" s="54"/>
      <c r="I300" s="54"/>
      <c r="J300" s="54"/>
      <c r="K300" s="54"/>
      <c r="L300" s="54"/>
      <c r="M300" s="54"/>
      <c r="N300" s="54"/>
      <c r="O300" s="54"/>
      <c r="P300" s="54"/>
    </row>
    <row r="301" spans="1:16" ht="14.25" customHeight="1">
      <c r="A301" s="63" t="s">
        <v>279</v>
      </c>
      <c r="B301" s="54" t="s">
        <v>2129</v>
      </c>
      <c r="C301" s="82"/>
      <c r="D301" s="54"/>
      <c r="E301" s="8"/>
      <c r="F301" s="54"/>
      <c r="G301" s="83"/>
      <c r="H301" s="54"/>
      <c r="I301" s="54"/>
      <c r="J301" s="54"/>
      <c r="K301" s="54"/>
      <c r="L301" s="54"/>
      <c r="M301" s="54"/>
      <c r="N301" s="54"/>
      <c r="O301" s="54"/>
      <c r="P301" s="54"/>
    </row>
    <row r="302" spans="1:16" ht="14.25" customHeight="1">
      <c r="A302" s="63"/>
      <c r="B302" s="54" t="s">
        <v>2144</v>
      </c>
      <c r="C302" s="82"/>
      <c r="D302" s="54"/>
      <c r="E302" s="8"/>
      <c r="F302" s="54"/>
      <c r="G302" s="83"/>
      <c r="H302" s="54"/>
      <c r="I302" s="54"/>
      <c r="J302" s="54"/>
      <c r="K302" s="54"/>
      <c r="L302" s="54"/>
      <c r="M302" s="54"/>
      <c r="N302" s="54"/>
      <c r="O302" s="54"/>
      <c r="P302" s="54"/>
    </row>
    <row r="303" spans="1:16" ht="14.25" customHeight="1">
      <c r="A303" s="63"/>
      <c r="B303" s="54" t="s">
        <v>2145</v>
      </c>
      <c r="C303" s="82"/>
      <c r="D303" s="54"/>
      <c r="E303" s="8"/>
      <c r="F303" s="54"/>
      <c r="G303" s="83"/>
      <c r="H303" s="54"/>
      <c r="I303" s="54"/>
      <c r="J303" s="54"/>
      <c r="K303" s="54"/>
      <c r="L303" s="54"/>
      <c r="M303" s="54"/>
      <c r="N303" s="54"/>
      <c r="O303" s="54"/>
      <c r="P303" s="54"/>
    </row>
    <row r="304" spans="1:16" ht="14.25" customHeight="1">
      <c r="A304" s="63"/>
      <c r="B304" s="54" t="s">
        <v>2146</v>
      </c>
      <c r="C304" s="82"/>
      <c r="D304" s="54"/>
      <c r="E304" s="8"/>
      <c r="F304" s="54"/>
      <c r="G304" s="83"/>
      <c r="H304" s="54"/>
      <c r="I304" s="54"/>
      <c r="J304" s="54"/>
      <c r="K304" s="54"/>
      <c r="L304" s="54"/>
      <c r="M304" s="54"/>
      <c r="N304" s="54"/>
      <c r="O304" s="54"/>
      <c r="P304" s="54"/>
    </row>
    <row r="305" spans="1:16" ht="14.25" customHeight="1">
      <c r="A305" s="63"/>
      <c r="B305" s="54" t="s">
        <v>2148</v>
      </c>
      <c r="C305" s="82"/>
      <c r="D305" s="54"/>
      <c r="E305" s="8"/>
      <c r="F305" s="54"/>
      <c r="G305" s="83"/>
      <c r="H305" s="54"/>
      <c r="I305" s="54"/>
      <c r="J305" s="54"/>
      <c r="K305" s="54"/>
      <c r="L305" s="54"/>
      <c r="M305" s="54"/>
      <c r="N305" s="54"/>
      <c r="O305" s="54"/>
      <c r="P305" s="54"/>
    </row>
    <row r="306" spans="1:16" ht="14.25" customHeight="1">
      <c r="A306" s="63"/>
      <c r="B306" s="54" t="s">
        <v>2147</v>
      </c>
      <c r="C306" s="82"/>
      <c r="D306" s="54"/>
      <c r="E306" s="8"/>
      <c r="F306" s="54"/>
      <c r="G306" s="83"/>
      <c r="H306" s="54"/>
      <c r="I306" s="54"/>
      <c r="J306" s="54"/>
      <c r="K306" s="54"/>
      <c r="L306" s="54"/>
      <c r="M306" s="54"/>
      <c r="N306" s="54"/>
      <c r="O306" s="54"/>
      <c r="P306" s="54"/>
    </row>
    <row r="307" spans="1:16" ht="14.25" customHeight="1">
      <c r="A307" s="63"/>
      <c r="B307" s="54"/>
      <c r="C307" s="82"/>
      <c r="D307" s="54"/>
      <c r="E307" s="8"/>
      <c r="F307" s="54"/>
      <c r="G307" s="83"/>
      <c r="H307" s="54"/>
      <c r="I307" s="54"/>
      <c r="J307" s="54"/>
      <c r="K307" s="54"/>
      <c r="L307" s="54"/>
      <c r="M307" s="54"/>
      <c r="N307" s="54"/>
      <c r="O307" s="54"/>
      <c r="P307" s="54"/>
    </row>
    <row r="308" spans="1:16" ht="14.25" customHeight="1">
      <c r="A308" s="54"/>
      <c r="B308" s="54" t="s">
        <v>2130</v>
      </c>
      <c r="C308" s="82"/>
      <c r="D308" s="54"/>
      <c r="E308" s="8"/>
      <c r="F308" s="54"/>
      <c r="G308" s="83"/>
      <c r="H308" s="54"/>
      <c r="I308" s="54"/>
      <c r="J308" s="54"/>
      <c r="K308" s="54"/>
      <c r="L308" s="54"/>
      <c r="M308" s="54"/>
      <c r="N308" s="54"/>
      <c r="O308" s="54"/>
      <c r="P308" s="54"/>
    </row>
    <row r="309" spans="1:16" ht="14.25" customHeight="1">
      <c r="A309" s="54"/>
      <c r="B309" s="54" t="s">
        <v>2131</v>
      </c>
      <c r="C309" s="82"/>
      <c r="D309" s="54"/>
      <c r="E309" s="8"/>
      <c r="F309" s="54"/>
      <c r="G309" s="83"/>
      <c r="H309" s="54"/>
      <c r="I309" s="54"/>
      <c r="J309" s="54"/>
      <c r="K309" s="54"/>
      <c r="L309" s="54"/>
      <c r="M309" s="54"/>
      <c r="N309" s="54"/>
      <c r="O309" s="54"/>
      <c r="P309" s="54"/>
    </row>
    <row r="310" spans="1:16" ht="14.25" customHeight="1">
      <c r="A310" s="54"/>
      <c r="B310" s="54"/>
      <c r="C310" s="82"/>
      <c r="D310" s="54"/>
      <c r="E310" s="8"/>
      <c r="F310" s="54"/>
      <c r="G310" s="83"/>
      <c r="H310" s="54"/>
      <c r="I310" s="54"/>
      <c r="J310" s="54"/>
      <c r="K310" s="54"/>
      <c r="L310" s="54"/>
      <c r="M310" s="54"/>
      <c r="N310" s="54"/>
      <c r="O310" s="54"/>
      <c r="P310" s="54"/>
    </row>
    <row r="311" spans="1:16" ht="14.25" customHeight="1">
      <c r="A311" s="63" t="s">
        <v>317</v>
      </c>
      <c r="B311" s="54" t="s">
        <v>114</v>
      </c>
      <c r="C311" s="82"/>
      <c r="D311" s="54"/>
      <c r="E311" s="8"/>
      <c r="F311" s="54"/>
      <c r="G311" s="83"/>
      <c r="H311" s="54"/>
      <c r="I311" s="54"/>
      <c r="J311" s="54"/>
      <c r="K311" s="54"/>
      <c r="L311" s="54"/>
      <c r="M311" s="54"/>
      <c r="N311" s="54"/>
      <c r="O311" s="54"/>
      <c r="P311" s="54"/>
    </row>
    <row r="312" spans="1:16" ht="14.25" customHeight="1">
      <c r="A312" s="54"/>
      <c r="B312" s="54" t="s">
        <v>998</v>
      </c>
      <c r="C312" s="82"/>
      <c r="D312" s="54"/>
      <c r="E312" s="8"/>
      <c r="F312" s="54"/>
      <c r="G312" s="83"/>
      <c r="H312" s="54"/>
      <c r="I312" s="54"/>
      <c r="J312" s="54"/>
      <c r="K312" s="54"/>
      <c r="L312" s="54"/>
      <c r="M312" s="54"/>
      <c r="N312" s="54"/>
      <c r="O312" s="54"/>
      <c r="P312" s="54"/>
    </row>
    <row r="313" spans="1:16" ht="14.25" customHeight="1">
      <c r="A313" s="54"/>
      <c r="B313" s="54" t="s">
        <v>219</v>
      </c>
      <c r="C313" s="2750"/>
      <c r="D313" s="2750"/>
      <c r="E313" s="2750"/>
      <c r="F313" s="2750"/>
      <c r="G313" s="2750"/>
      <c r="H313" s="2750"/>
      <c r="I313" s="54"/>
      <c r="J313" s="54"/>
      <c r="K313" s="54"/>
      <c r="L313" s="54"/>
      <c r="M313" s="54"/>
      <c r="N313" s="54"/>
      <c r="O313" s="54"/>
      <c r="P313" s="54"/>
    </row>
    <row r="314" spans="1:16" ht="14.25" customHeight="1">
      <c r="A314" s="54"/>
      <c r="B314" s="54" t="s">
        <v>220</v>
      </c>
      <c r="C314" s="82"/>
      <c r="D314" s="54"/>
      <c r="E314" s="8"/>
      <c r="F314" s="54"/>
      <c r="G314" s="83"/>
      <c r="H314" s="54"/>
      <c r="I314" s="54"/>
      <c r="J314" s="54"/>
      <c r="K314" s="54"/>
      <c r="L314" s="54"/>
      <c r="M314" s="54"/>
      <c r="N314" s="54"/>
      <c r="O314" s="54"/>
      <c r="P314" s="54"/>
    </row>
    <row r="315" spans="1:16" ht="14.25" customHeight="1">
      <c r="A315" s="54"/>
      <c r="B315" s="54"/>
      <c r="C315" s="82"/>
      <c r="D315" s="54"/>
      <c r="E315" s="8"/>
      <c r="F315" s="54"/>
      <c r="G315" s="83"/>
      <c r="H315" s="54"/>
      <c r="I315" s="54"/>
      <c r="J315" s="54"/>
      <c r="K315" s="54"/>
      <c r="L315" s="54"/>
      <c r="M315" s="54"/>
      <c r="N315" s="54"/>
      <c r="O315" s="54"/>
      <c r="P315" s="54"/>
    </row>
    <row r="316" spans="1:16" ht="14.25" customHeight="1">
      <c r="A316" s="4645"/>
      <c r="B316" s="4645"/>
      <c r="C316" s="4645"/>
      <c r="D316" s="4645"/>
      <c r="E316" s="4645"/>
      <c r="F316" s="4645"/>
      <c r="G316" s="4645"/>
      <c r="H316" s="4645"/>
      <c r="I316" s="4645"/>
      <c r="J316" s="54"/>
      <c r="K316" s="54"/>
      <c r="L316" s="54"/>
      <c r="M316" s="54"/>
      <c r="N316" s="54"/>
      <c r="O316" s="54"/>
      <c r="P316" s="54"/>
    </row>
    <row r="317" spans="1:16" ht="14.25" customHeight="1">
      <c r="A317" s="54"/>
      <c r="B317" s="54"/>
      <c r="C317" s="82"/>
      <c r="D317" s="54"/>
      <c r="E317" s="8"/>
      <c r="F317" s="54"/>
      <c r="G317" s="83"/>
      <c r="H317" s="54"/>
      <c r="I317" s="54"/>
      <c r="J317" s="54"/>
      <c r="K317" s="54"/>
      <c r="L317" s="54"/>
      <c r="M317" s="54"/>
      <c r="N317" s="54"/>
      <c r="O317" s="54"/>
      <c r="P317" s="54"/>
    </row>
    <row r="318" spans="1:16" ht="14.25" customHeight="1">
      <c r="A318" s="4646" t="s">
        <v>318</v>
      </c>
      <c r="B318" s="4646"/>
      <c r="C318" s="4646"/>
      <c r="D318" s="4646"/>
      <c r="E318" s="4646"/>
      <c r="F318" s="4646"/>
      <c r="G318" s="4646"/>
      <c r="H318" s="4646"/>
      <c r="I318" s="4646"/>
      <c r="J318" s="54"/>
      <c r="K318" s="54"/>
      <c r="L318" s="54"/>
      <c r="M318" s="54"/>
      <c r="N318" s="54"/>
      <c r="O318" s="54"/>
      <c r="P318" s="54"/>
    </row>
    <row r="319" spans="1:16" ht="14.25" customHeight="1">
      <c r="A319" s="4646" t="s">
        <v>943</v>
      </c>
      <c r="B319" s="4646"/>
      <c r="C319" s="4646"/>
      <c r="D319" s="4646"/>
      <c r="E319" s="4646"/>
      <c r="F319" s="4646"/>
      <c r="G319" s="4646"/>
      <c r="H319" s="4646"/>
      <c r="I319" s="4646"/>
      <c r="J319" s="54"/>
      <c r="K319" s="54"/>
      <c r="L319" s="54"/>
      <c r="M319" s="54"/>
      <c r="N319" s="54"/>
      <c r="O319" s="54"/>
      <c r="P319" s="54"/>
    </row>
    <row r="320" spans="1:16" ht="14.25" customHeight="1">
      <c r="A320" s="2745"/>
      <c r="B320" s="2750"/>
      <c r="C320" s="2750"/>
      <c r="D320" s="2750"/>
      <c r="E320" s="2750"/>
      <c r="F320" s="2750"/>
      <c r="G320" s="2750"/>
      <c r="H320" s="2750"/>
      <c r="I320" s="54"/>
      <c r="J320" s="54"/>
      <c r="K320" s="54"/>
      <c r="L320" s="54"/>
      <c r="M320" s="54"/>
      <c r="N320" s="54"/>
      <c r="O320" s="54"/>
      <c r="P320" s="54"/>
    </row>
    <row r="321" spans="1:16" ht="14.25" customHeight="1">
      <c r="A321" s="2745" t="s">
        <v>79</v>
      </c>
      <c r="B321" s="69" t="s">
        <v>944</v>
      </c>
      <c r="C321" s="2750"/>
      <c r="D321" s="2750"/>
      <c r="E321" s="2750"/>
      <c r="F321" s="2750"/>
      <c r="G321" s="2750"/>
      <c r="H321" s="2750"/>
      <c r="I321" s="54"/>
      <c r="J321" s="54"/>
      <c r="K321" s="54"/>
      <c r="L321" s="54"/>
      <c r="M321" s="54"/>
      <c r="N321" s="54"/>
      <c r="O321" s="54"/>
      <c r="P321" s="54"/>
    </row>
    <row r="322" spans="1:16" ht="14.25" customHeight="1">
      <c r="A322" s="2745"/>
      <c r="B322" s="69" t="s">
        <v>945</v>
      </c>
      <c r="C322" s="2750"/>
      <c r="D322" s="2750"/>
      <c r="E322" s="2750"/>
      <c r="F322" s="2750"/>
      <c r="G322" s="2750"/>
      <c r="H322" s="2750"/>
      <c r="I322" s="54"/>
      <c r="J322" s="54"/>
      <c r="K322" s="54"/>
      <c r="L322" s="54"/>
      <c r="M322" s="54"/>
      <c r="N322" s="54"/>
      <c r="O322" s="54"/>
      <c r="P322" s="54"/>
    </row>
    <row r="323" spans="1:16" ht="14.25" customHeight="1">
      <c r="A323" s="2745"/>
      <c r="B323" s="69" t="s">
        <v>946</v>
      </c>
      <c r="C323" s="2750"/>
      <c r="D323" s="2750"/>
      <c r="E323" s="2750"/>
      <c r="F323" s="2750"/>
      <c r="G323" s="2750"/>
      <c r="H323" s="2750"/>
      <c r="I323" s="54"/>
      <c r="J323" s="54"/>
      <c r="K323" s="54"/>
      <c r="L323" s="54"/>
      <c r="M323" s="54"/>
      <c r="N323" s="54"/>
      <c r="O323" s="54"/>
      <c r="P323" s="54"/>
    </row>
    <row r="324" spans="1:16" ht="14.25" customHeight="1">
      <c r="A324" s="2745"/>
      <c r="B324" s="69" t="s">
        <v>947</v>
      </c>
      <c r="C324" s="2750"/>
      <c r="D324" s="2750"/>
      <c r="E324" s="2750"/>
      <c r="F324" s="2750"/>
      <c r="G324" s="2750"/>
      <c r="H324" s="2750"/>
      <c r="I324" s="54"/>
      <c r="J324" s="54"/>
      <c r="K324" s="54"/>
      <c r="L324" s="54"/>
      <c r="M324" s="54"/>
      <c r="N324" s="54"/>
      <c r="O324" s="54"/>
      <c r="P324" s="54"/>
    </row>
    <row r="325" spans="1:16" ht="14.25" customHeight="1">
      <c r="A325" s="2745"/>
      <c r="B325" s="69" t="s">
        <v>948</v>
      </c>
      <c r="C325" s="2750"/>
      <c r="D325" s="2750"/>
      <c r="E325" s="2750"/>
      <c r="F325" s="2750"/>
      <c r="G325" s="2750"/>
      <c r="H325" s="2750"/>
      <c r="I325" s="54"/>
      <c r="J325" s="54"/>
      <c r="K325" s="54"/>
      <c r="L325" s="54"/>
      <c r="M325" s="54"/>
      <c r="N325" s="54"/>
      <c r="O325" s="54"/>
      <c r="P325" s="54"/>
    </row>
    <row r="326" spans="1:16" ht="14.25" customHeight="1">
      <c r="A326" s="2745"/>
      <c r="B326" s="69" t="s">
        <v>994</v>
      </c>
      <c r="C326" s="2750"/>
      <c r="D326" s="2750"/>
      <c r="E326" s="2750"/>
      <c r="F326" s="2750"/>
      <c r="G326" s="2750"/>
      <c r="H326" s="2750"/>
      <c r="I326" s="54"/>
      <c r="J326" s="54"/>
      <c r="K326" s="54"/>
      <c r="L326" s="54"/>
      <c r="M326" s="54"/>
      <c r="N326" s="54"/>
      <c r="O326" s="54"/>
      <c r="P326" s="54"/>
    </row>
    <row r="327" spans="1:16" ht="14.25" customHeight="1">
      <c r="A327" s="2745"/>
      <c r="B327" s="69"/>
      <c r="C327" s="2750"/>
      <c r="D327" s="2750"/>
      <c r="E327" s="2750"/>
      <c r="F327" s="2750"/>
      <c r="G327" s="2750"/>
      <c r="H327" s="2750"/>
      <c r="I327" s="54"/>
      <c r="J327" s="54"/>
      <c r="K327" s="54"/>
      <c r="L327" s="54"/>
      <c r="M327" s="54"/>
      <c r="N327" s="54"/>
      <c r="O327" s="54"/>
      <c r="P327" s="54"/>
    </row>
    <row r="328" spans="1:16" ht="14.25" customHeight="1">
      <c r="A328" s="2745" t="s">
        <v>112</v>
      </c>
      <c r="B328" s="69" t="s">
        <v>852</v>
      </c>
      <c r="C328" s="2750"/>
      <c r="D328" s="2750"/>
      <c r="E328" s="2750"/>
      <c r="F328" s="2750"/>
      <c r="G328" s="2750"/>
      <c r="H328" s="2750"/>
      <c r="I328" s="54"/>
      <c r="J328" s="54"/>
      <c r="K328" s="54"/>
      <c r="L328" s="54"/>
      <c r="M328" s="54"/>
      <c r="N328" s="54"/>
      <c r="O328" s="54"/>
      <c r="P328" s="54"/>
    </row>
    <row r="329" spans="1:16" ht="14.25" customHeight="1">
      <c r="A329" s="2745"/>
      <c r="B329" s="69" t="s">
        <v>949</v>
      </c>
      <c r="C329" s="2748"/>
      <c r="D329" s="2748"/>
      <c r="E329" s="2748"/>
      <c r="F329" s="2748"/>
      <c r="G329" s="2748"/>
      <c r="H329" s="2748"/>
      <c r="I329" s="54"/>
      <c r="J329" s="54"/>
      <c r="K329" s="54"/>
      <c r="L329" s="54"/>
      <c r="M329" s="54"/>
      <c r="N329" s="54"/>
      <c r="O329" s="54"/>
      <c r="P329" s="54"/>
    </row>
    <row r="330" spans="1:16" ht="14.25" customHeight="1">
      <c r="A330" s="2745"/>
      <c r="B330" s="69" t="s">
        <v>950</v>
      </c>
      <c r="C330" s="2748"/>
      <c r="D330" s="2748"/>
      <c r="E330" s="2748"/>
      <c r="F330" s="2748"/>
      <c r="G330" s="2748"/>
      <c r="H330" s="2748"/>
      <c r="I330" s="54"/>
      <c r="J330" s="54"/>
      <c r="K330" s="54"/>
      <c r="L330" s="54"/>
      <c r="M330" s="54"/>
      <c r="N330" s="54"/>
      <c r="O330" s="54"/>
      <c r="P330" s="54"/>
    </row>
    <row r="331" spans="1:16" ht="14.25" customHeight="1">
      <c r="A331" s="2745"/>
      <c r="B331" s="69" t="s">
        <v>853</v>
      </c>
      <c r="C331" s="2750"/>
      <c r="D331" s="2750"/>
      <c r="E331" s="2750"/>
      <c r="F331" s="2750"/>
      <c r="G331" s="2750"/>
      <c r="H331" s="2750"/>
      <c r="I331" s="54"/>
      <c r="J331" s="54"/>
      <c r="K331" s="54"/>
      <c r="L331" s="54"/>
      <c r="M331" s="54"/>
      <c r="N331" s="54"/>
      <c r="O331" s="54"/>
      <c r="P331" s="54"/>
    </row>
    <row r="332" spans="1:16" ht="14.25" customHeight="1">
      <c r="A332" s="2745"/>
      <c r="B332" s="69"/>
      <c r="C332" s="2750"/>
      <c r="D332" s="2750"/>
      <c r="E332" s="2750"/>
      <c r="F332" s="2750"/>
      <c r="G332" s="2750"/>
      <c r="H332" s="2750"/>
      <c r="I332" s="54"/>
      <c r="J332" s="54"/>
      <c r="K332" s="54"/>
      <c r="L332" s="54"/>
      <c r="M332" s="54"/>
      <c r="N332" s="54"/>
      <c r="O332" s="54"/>
      <c r="P332" s="54"/>
    </row>
    <row r="333" spans="1:16" ht="14.25" customHeight="1">
      <c r="A333" s="2745" t="s">
        <v>113</v>
      </c>
      <c r="B333" s="69" t="s">
        <v>951</v>
      </c>
      <c r="C333" s="2750"/>
      <c r="D333" s="2750"/>
      <c r="E333" s="2750"/>
      <c r="F333" s="2750"/>
      <c r="G333" s="2750"/>
      <c r="H333" s="2750"/>
      <c r="I333" s="54"/>
      <c r="J333" s="54"/>
      <c r="K333" s="54"/>
      <c r="L333" s="54"/>
      <c r="M333" s="54"/>
      <c r="N333" s="54"/>
      <c r="O333" s="54"/>
      <c r="P333" s="54"/>
    </row>
    <row r="334" spans="1:16" ht="14.25" customHeight="1">
      <c r="A334" s="2745"/>
      <c r="B334" s="69" t="s">
        <v>995</v>
      </c>
      <c r="C334" s="2750"/>
      <c r="D334" s="2750"/>
      <c r="E334" s="2750"/>
      <c r="F334" s="2750"/>
      <c r="G334" s="2750"/>
      <c r="H334" s="2750"/>
      <c r="I334" s="54"/>
      <c r="J334" s="54"/>
      <c r="K334" s="54"/>
      <c r="L334" s="54"/>
      <c r="M334" s="54"/>
      <c r="N334" s="54"/>
      <c r="O334" s="54"/>
      <c r="P334" s="54"/>
    </row>
    <row r="335" spans="1:16" ht="14.25" customHeight="1">
      <c r="A335" s="76"/>
      <c r="B335" s="69" t="s">
        <v>952</v>
      </c>
      <c r="C335" s="2750"/>
      <c r="D335" s="2750"/>
      <c r="E335" s="2750"/>
      <c r="F335" s="2750"/>
      <c r="G335" s="2750"/>
      <c r="H335" s="2750"/>
      <c r="I335" s="54"/>
      <c r="J335" s="54"/>
      <c r="K335" s="54"/>
      <c r="L335" s="54"/>
      <c r="M335" s="54"/>
      <c r="N335" s="54"/>
      <c r="O335" s="54"/>
      <c r="P335" s="54"/>
    </row>
    <row r="336" spans="1:16" ht="14.25" customHeight="1">
      <c r="A336" s="2745"/>
      <c r="B336" s="69"/>
      <c r="C336" s="2750"/>
      <c r="D336" s="2750"/>
      <c r="E336" s="2750"/>
      <c r="F336" s="2750"/>
      <c r="G336" s="2750"/>
      <c r="H336" s="2750"/>
      <c r="I336" s="54"/>
      <c r="J336" s="54"/>
      <c r="K336" s="54"/>
      <c r="L336" s="54"/>
      <c r="M336" s="54"/>
      <c r="N336" s="54"/>
      <c r="O336" s="54"/>
      <c r="P336" s="54"/>
    </row>
    <row r="337" spans="1:16" ht="14.25" customHeight="1">
      <c r="A337" s="2745" t="s">
        <v>279</v>
      </c>
      <c r="B337" s="69" t="str">
        <f>"Die Einrichtung stellt sicher, dass die Pflegebedürftigen bzw. ihre Angehörigen im Rahmen"</f>
        <v>Die Einrichtung stellt sicher, dass die Pflegebedürftigen bzw. ihre Angehörigen im Rahmen</v>
      </c>
      <c r="C337" s="2750"/>
      <c r="D337" s="2750"/>
      <c r="E337" s="2750"/>
      <c r="F337" s="2750"/>
      <c r="G337" s="2750"/>
      <c r="H337" s="2750"/>
      <c r="I337" s="54"/>
      <c r="J337" s="54"/>
      <c r="K337" s="54"/>
      <c r="L337" s="54"/>
      <c r="M337" s="54"/>
      <c r="N337" s="54"/>
      <c r="O337" s="54"/>
      <c r="P337" s="54"/>
    </row>
    <row r="338" spans="1:16" ht="14.25" customHeight="1">
      <c r="A338" s="2745"/>
      <c r="B338" s="69" t="str">
        <f>"der Verhandlungen und des Abschlusses des Heimvertrages nachprüfbar und deutlich darauf "</f>
        <v xml:space="preserve">der Verhandlungen und des Abschlusses des Heimvertrages nachprüfbar und deutlich darauf </v>
      </c>
      <c r="C338" s="2750"/>
      <c r="D338" s="2750"/>
      <c r="E338" s="2750"/>
      <c r="F338" s="2750"/>
      <c r="G338" s="2750"/>
      <c r="H338" s="2750"/>
      <c r="I338" s="54"/>
      <c r="J338" s="54"/>
      <c r="K338" s="54"/>
      <c r="L338" s="54"/>
      <c r="M338" s="54"/>
      <c r="N338" s="54"/>
      <c r="O338" s="54"/>
      <c r="P338" s="54"/>
    </row>
    <row r="339" spans="1:16" ht="14.25" customHeight="1">
      <c r="A339" s="2745"/>
      <c r="B339" s="69" t="s">
        <v>968</v>
      </c>
      <c r="C339" s="2750"/>
      <c r="D339" s="2750"/>
      <c r="E339" s="2750"/>
      <c r="F339" s="2750"/>
      <c r="G339" s="2750"/>
      <c r="H339" s="2750"/>
      <c r="I339" s="54"/>
      <c r="J339" s="54"/>
      <c r="K339" s="54"/>
      <c r="L339" s="54"/>
      <c r="M339" s="54"/>
      <c r="N339" s="54"/>
      <c r="O339" s="54"/>
      <c r="P339" s="54"/>
    </row>
    <row r="340" spans="1:16" ht="14.25" customHeight="1">
      <c r="A340" s="2745"/>
      <c r="B340" s="69" t="s">
        <v>967</v>
      </c>
      <c r="C340" s="2750"/>
      <c r="D340" s="2750"/>
      <c r="E340" s="2750"/>
      <c r="F340" s="2750"/>
      <c r="G340" s="2750"/>
      <c r="H340" s="2750"/>
      <c r="I340" s="54"/>
      <c r="J340" s="54"/>
      <c r="K340" s="54"/>
      <c r="L340" s="54"/>
      <c r="M340" s="54"/>
      <c r="N340" s="54"/>
      <c r="O340" s="54"/>
      <c r="P340" s="54"/>
    </row>
    <row r="341" spans="1:16" ht="14.25" customHeight="1">
      <c r="A341" s="2745"/>
      <c r="B341" s="69"/>
      <c r="C341" s="2750"/>
      <c r="D341" s="2750"/>
      <c r="E341" s="2750"/>
      <c r="F341" s="2750"/>
      <c r="G341" s="2750"/>
      <c r="H341" s="2750"/>
      <c r="I341" s="54"/>
      <c r="J341" s="54"/>
      <c r="K341" s="54"/>
      <c r="L341" s="54"/>
      <c r="M341" s="54"/>
      <c r="N341" s="54"/>
      <c r="O341" s="54"/>
      <c r="P341" s="54"/>
    </row>
    <row r="342" spans="1:16" ht="14.25" customHeight="1">
      <c r="A342" s="2745" t="s">
        <v>317</v>
      </c>
      <c r="B342" s="69" t="s">
        <v>854</v>
      </c>
      <c r="C342" s="2750"/>
      <c r="D342" s="2750"/>
      <c r="E342" s="2750"/>
      <c r="F342" s="2750"/>
      <c r="G342" s="2750"/>
      <c r="H342" s="2750"/>
      <c r="I342" s="54"/>
      <c r="J342" s="54"/>
      <c r="K342" s="54"/>
      <c r="L342" s="54"/>
      <c r="M342" s="54"/>
      <c r="N342" s="54"/>
      <c r="O342" s="54"/>
      <c r="P342" s="54"/>
    </row>
    <row r="343" spans="1:16" ht="14.25" customHeight="1">
      <c r="A343" s="2745"/>
      <c r="B343" s="69" t="str">
        <f>"Betreuung und Aktivierung für Pflegebedürftige nicht erbracht wird."</f>
        <v>Betreuung und Aktivierung für Pflegebedürftige nicht erbracht wird.</v>
      </c>
      <c r="C343" s="2750"/>
      <c r="D343" s="2750"/>
      <c r="E343" s="2750"/>
      <c r="F343" s="2750"/>
      <c r="G343" s="2750"/>
      <c r="H343" s="2750"/>
      <c r="I343" s="54"/>
      <c r="J343" s="54"/>
      <c r="K343" s="54"/>
      <c r="L343" s="54"/>
      <c r="M343" s="54"/>
      <c r="N343" s="54"/>
      <c r="O343" s="54"/>
      <c r="P343" s="54"/>
    </row>
    <row r="344" spans="1:16" ht="14.25" customHeight="1">
      <c r="A344" s="2745"/>
      <c r="B344" s="69"/>
      <c r="C344" s="2750"/>
      <c r="D344" s="2750"/>
      <c r="E344" s="2750"/>
      <c r="F344" s="2750"/>
      <c r="G344" s="2750"/>
      <c r="H344" s="2750"/>
      <c r="I344" s="54"/>
      <c r="J344" s="54"/>
      <c r="K344" s="54"/>
      <c r="L344" s="54"/>
      <c r="M344" s="54"/>
      <c r="N344" s="54"/>
      <c r="O344" s="54"/>
      <c r="P344" s="54"/>
    </row>
    <row r="345" spans="1:16" ht="14.25" customHeight="1">
      <c r="A345" s="2745" t="s">
        <v>855</v>
      </c>
      <c r="B345" s="69" t="s">
        <v>856</v>
      </c>
      <c r="C345" s="69"/>
      <c r="D345" s="69"/>
      <c r="E345" s="69"/>
      <c r="F345" s="69"/>
      <c r="G345" s="69"/>
      <c r="H345" s="69"/>
      <c r="I345" s="54"/>
      <c r="J345" s="54"/>
      <c r="K345" s="54"/>
      <c r="L345" s="54"/>
      <c r="M345" s="54"/>
      <c r="N345" s="54"/>
      <c r="O345" s="54"/>
      <c r="P345" s="54"/>
    </row>
    <row r="346" spans="1:16" ht="14.25" customHeight="1">
      <c r="A346" s="2745"/>
      <c r="B346" s="69" t="s">
        <v>953</v>
      </c>
      <c r="C346" s="2750"/>
      <c r="D346" s="2750"/>
      <c r="E346" s="2750"/>
      <c r="F346" s="2750"/>
      <c r="G346" s="2750"/>
      <c r="H346" s="2750"/>
      <c r="I346" s="54"/>
      <c r="J346" s="54"/>
      <c r="K346" s="54"/>
      <c r="L346" s="54"/>
      <c r="M346" s="54"/>
      <c r="N346" s="54"/>
      <c r="O346" s="54"/>
      <c r="P346" s="54"/>
    </row>
    <row r="347" spans="1:16" ht="14.25" customHeight="1">
      <c r="A347" s="2745"/>
      <c r="B347" s="69"/>
      <c r="C347" s="2750"/>
      <c r="D347" s="2750"/>
      <c r="E347" s="2750"/>
      <c r="F347" s="2750"/>
      <c r="G347" s="2750"/>
      <c r="H347" s="2750"/>
      <c r="I347" s="98"/>
      <c r="J347" s="98"/>
      <c r="K347" s="98"/>
      <c r="L347" s="98"/>
      <c r="M347" s="98"/>
      <c r="N347" s="98"/>
      <c r="O347" s="98"/>
      <c r="P347" s="98"/>
    </row>
    <row r="348" spans="1:16" ht="14.25" customHeight="1">
      <c r="A348" s="4647" t="e">
        <f>FIXED(Protokoll!C63,2)&amp;" Vollzeitkräfte"</f>
        <v>#VALUE!</v>
      </c>
      <c r="B348" s="4647"/>
      <c r="C348" s="4647"/>
      <c r="D348" s="4647"/>
      <c r="E348" s="4647"/>
      <c r="F348" s="4647"/>
      <c r="G348" s="4647"/>
      <c r="H348" s="4647"/>
      <c r="I348" s="4647"/>
      <c r="J348" s="98"/>
      <c r="K348" s="98"/>
      <c r="L348" s="98"/>
      <c r="M348" s="98"/>
      <c r="N348" s="98"/>
      <c r="O348" s="98"/>
      <c r="P348" s="98"/>
    </row>
    <row r="349" spans="1:16" ht="14.25" customHeight="1">
      <c r="A349" s="2745"/>
      <c r="B349" s="2747"/>
      <c r="C349" s="2750"/>
      <c r="D349" s="2750"/>
      <c r="E349" s="2750"/>
      <c r="F349" s="2750"/>
      <c r="G349" s="2750"/>
      <c r="H349" s="2750"/>
      <c r="I349" s="2746"/>
      <c r="J349" s="2746"/>
      <c r="K349" s="2746"/>
      <c r="L349" s="2746"/>
      <c r="M349" s="2746"/>
      <c r="N349" s="2746"/>
      <c r="O349" s="2746"/>
      <c r="P349" s="2746"/>
    </row>
    <row r="350" spans="1:16" ht="14.25" customHeight="1">
      <c r="A350" s="2745"/>
      <c r="B350" s="69" t="s">
        <v>857</v>
      </c>
      <c r="C350" s="2750"/>
      <c r="D350" s="2750"/>
      <c r="E350" s="2750"/>
      <c r="F350" s="2750"/>
      <c r="G350" s="2750"/>
      <c r="H350" s="2750"/>
      <c r="I350" s="2746"/>
      <c r="J350" s="2746"/>
      <c r="K350" s="2746"/>
      <c r="L350" s="2746"/>
      <c r="M350" s="2746"/>
      <c r="N350" s="2746"/>
      <c r="O350" s="2746"/>
      <c r="P350" s="2746"/>
    </row>
    <row r="351" spans="1:16" ht="14.25" customHeight="1">
      <c r="A351" s="2745"/>
      <c r="B351" s="69"/>
      <c r="C351" s="2750"/>
      <c r="D351" s="2750"/>
      <c r="E351" s="2750"/>
      <c r="F351" s="2750"/>
      <c r="G351" s="2750"/>
      <c r="H351" s="2750"/>
      <c r="I351" s="2746"/>
      <c r="J351" s="2746"/>
      <c r="K351" s="2746"/>
      <c r="L351" s="2746"/>
      <c r="M351" s="2746"/>
      <c r="N351" s="2746"/>
      <c r="O351" s="2746"/>
      <c r="P351" s="2746"/>
    </row>
    <row r="352" spans="1:16" ht="14.25" customHeight="1">
      <c r="A352" s="2745" t="s">
        <v>858</v>
      </c>
      <c r="B352" s="69" t="str">
        <f>"Bei Leistungen der vollstationären Pflege (§§ 43, 43b SGB XI) zahlt die jeweils zuständige"</f>
        <v>Bei Leistungen der vollstationären Pflege (§§ 43, 43b SGB XI) zahlt die jeweils zuständige</v>
      </c>
      <c r="C352" s="2750"/>
      <c r="D352" s="2750"/>
      <c r="E352" s="2750"/>
      <c r="F352" s="2750"/>
      <c r="G352" s="2750"/>
      <c r="H352" s="2750"/>
      <c r="I352" s="2746"/>
      <c r="J352" s="2746"/>
      <c r="K352" s="2746"/>
      <c r="L352" s="2746"/>
      <c r="M352" s="2746"/>
      <c r="N352" s="2746"/>
      <c r="O352" s="2746"/>
      <c r="P352" s="2746"/>
    </row>
    <row r="353" spans="1:16" ht="14.25" customHeight="1">
      <c r="A353" s="2745"/>
      <c r="B353" s="69" t="s">
        <v>954</v>
      </c>
      <c r="C353" s="2750"/>
      <c r="D353" s="2750"/>
      <c r="E353" s="2750"/>
      <c r="F353" s="2750"/>
      <c r="G353" s="2750"/>
      <c r="H353" s="2750"/>
      <c r="I353" s="2746"/>
      <c r="J353" s="2746"/>
      <c r="K353" s="2746"/>
      <c r="L353" s="2746"/>
      <c r="M353" s="2746"/>
      <c r="N353" s="2746"/>
      <c r="O353" s="2746"/>
      <c r="P353" s="2746"/>
    </row>
    <row r="354" spans="1:16" ht="14.25" customHeight="1">
      <c r="A354" s="2745"/>
      <c r="B354" s="69"/>
      <c r="C354" s="2750"/>
      <c r="D354" s="2750"/>
      <c r="E354" s="2750"/>
      <c r="F354" s="2750"/>
      <c r="G354" s="2750"/>
      <c r="H354" s="2750"/>
      <c r="I354" s="2746"/>
      <c r="J354" s="2746"/>
      <c r="K354" s="2746"/>
      <c r="L354" s="2746"/>
      <c r="M354" s="2746"/>
      <c r="N354" s="2746"/>
      <c r="O354" s="2746"/>
      <c r="P354" s="2746"/>
    </row>
    <row r="355" spans="1:16" ht="14.25" customHeight="1">
      <c r="A355" s="4647" t="e">
        <f>FIXED(Protokoll!D63,2)&amp;" €."</f>
        <v>#VALUE!</v>
      </c>
      <c r="B355" s="4647"/>
      <c r="C355" s="4647"/>
      <c r="D355" s="4647"/>
      <c r="E355" s="4647"/>
      <c r="F355" s="4647"/>
      <c r="G355" s="4647"/>
      <c r="H355" s="4647"/>
      <c r="I355" s="4647"/>
      <c r="J355" s="54"/>
      <c r="K355" s="54"/>
      <c r="L355" s="54"/>
      <c r="M355" s="54"/>
      <c r="N355" s="54"/>
      <c r="O355" s="54"/>
      <c r="P355" s="54"/>
    </row>
    <row r="356" spans="1:16" ht="14.25" customHeight="1">
      <c r="A356" s="2745"/>
      <c r="B356" s="2747"/>
      <c r="C356" s="2750"/>
      <c r="D356" s="2750"/>
      <c r="E356" s="2750"/>
      <c r="F356" s="2750"/>
      <c r="G356" s="2750"/>
      <c r="H356" s="2750"/>
      <c r="I356" s="54"/>
      <c r="J356" s="54"/>
      <c r="K356" s="54"/>
      <c r="L356" s="54"/>
      <c r="M356" s="54"/>
      <c r="N356" s="54"/>
      <c r="O356" s="54"/>
      <c r="P356" s="54"/>
    </row>
    <row r="357" spans="1:16" ht="14.25" customHeight="1">
      <c r="A357" s="2745"/>
      <c r="B357" s="69" t="s">
        <v>859</v>
      </c>
      <c r="C357" s="2747"/>
      <c r="D357" s="2747"/>
      <c r="E357" s="2747"/>
      <c r="F357" s="2747"/>
      <c r="G357" s="2747"/>
      <c r="H357" s="2747"/>
      <c r="I357" s="54"/>
      <c r="J357" s="54"/>
      <c r="K357" s="54"/>
      <c r="L357" s="54"/>
      <c r="M357" s="54"/>
      <c r="N357" s="54"/>
      <c r="O357" s="54"/>
      <c r="P357" s="54"/>
    </row>
    <row r="358" spans="1:16" ht="14.25" customHeight="1">
      <c r="A358" s="2745"/>
      <c r="B358" s="69" t="s">
        <v>860</v>
      </c>
      <c r="C358" s="2747"/>
      <c r="D358" s="2747"/>
      <c r="E358" s="2747"/>
      <c r="F358" s="2747"/>
      <c r="G358" s="2747"/>
      <c r="H358" s="2747"/>
      <c r="I358" s="54"/>
      <c r="J358" s="54"/>
      <c r="K358" s="54"/>
      <c r="L358" s="54"/>
      <c r="M358" s="54"/>
      <c r="N358" s="54"/>
      <c r="O358" s="54"/>
      <c r="P358" s="54"/>
    </row>
    <row r="359" spans="1:16" ht="14.25" customHeight="1">
      <c r="A359" s="2745"/>
      <c r="B359" s="69" t="s">
        <v>861</v>
      </c>
      <c r="C359" s="2750"/>
      <c r="D359" s="2750"/>
      <c r="E359" s="2750"/>
      <c r="F359" s="2750"/>
      <c r="G359" s="2750"/>
      <c r="H359" s="2750"/>
      <c r="I359" s="54"/>
      <c r="J359" s="54"/>
      <c r="K359" s="54"/>
      <c r="L359" s="54"/>
      <c r="M359" s="54"/>
      <c r="N359" s="54"/>
      <c r="O359" s="54"/>
      <c r="P359" s="54"/>
    </row>
    <row r="360" spans="1:16" ht="14.25" customHeight="1">
      <c r="A360" s="4645" t="s">
        <v>1223</v>
      </c>
      <c r="B360" s="4645"/>
      <c r="C360" s="4645"/>
      <c r="D360" s="4645"/>
      <c r="E360" s="4645"/>
      <c r="F360" s="4645"/>
      <c r="G360" s="4645"/>
      <c r="H360" s="4645"/>
      <c r="I360" s="4645"/>
      <c r="J360" s="54"/>
      <c r="K360" s="54"/>
      <c r="L360" s="54"/>
      <c r="M360" s="54"/>
      <c r="N360" s="54"/>
      <c r="O360" s="54"/>
      <c r="P360" s="54"/>
    </row>
    <row r="361" spans="1:16" ht="14.25" customHeight="1">
      <c r="A361" s="2745"/>
      <c r="B361" s="69"/>
      <c r="C361" s="2750"/>
      <c r="D361" s="2750"/>
      <c r="E361" s="2750"/>
      <c r="F361" s="2750"/>
      <c r="G361" s="2750"/>
      <c r="H361" s="2750"/>
      <c r="I361" s="54"/>
      <c r="J361" s="54"/>
      <c r="K361" s="54"/>
      <c r="L361" s="54"/>
      <c r="M361" s="54"/>
      <c r="N361" s="54"/>
      <c r="O361" s="54"/>
      <c r="P361" s="54"/>
    </row>
    <row r="362" spans="1:16" ht="14.25" customHeight="1">
      <c r="A362" s="2745"/>
      <c r="B362" s="69" t="s">
        <v>955</v>
      </c>
      <c r="C362" s="2750"/>
      <c r="D362" s="2750"/>
      <c r="E362" s="2750"/>
      <c r="F362" s="2750"/>
      <c r="G362" s="2750"/>
      <c r="H362" s="2750"/>
      <c r="I362" s="119"/>
      <c r="J362" s="54"/>
      <c r="K362" s="54"/>
      <c r="L362" s="54"/>
      <c r="M362" s="54"/>
      <c r="N362" s="54"/>
      <c r="O362" s="54"/>
      <c r="P362" s="54"/>
    </row>
    <row r="363" spans="1:16" ht="14.25" customHeight="1">
      <c r="A363" s="2745"/>
      <c r="B363" s="69" t="s">
        <v>970</v>
      </c>
      <c r="C363" s="2750"/>
      <c r="D363" s="2750"/>
      <c r="E363" s="2750"/>
      <c r="F363" s="2750"/>
      <c r="G363" s="2750"/>
      <c r="H363" s="2750"/>
      <c r="I363" s="124"/>
      <c r="J363" s="54"/>
      <c r="K363" s="54"/>
      <c r="L363" s="54"/>
      <c r="M363" s="54"/>
      <c r="N363" s="54"/>
      <c r="O363" s="54"/>
      <c r="P363" s="54"/>
    </row>
    <row r="364" spans="1:16" ht="14.25" customHeight="1">
      <c r="A364" s="2745"/>
      <c r="B364" s="69" t="s">
        <v>956</v>
      </c>
      <c r="C364" s="2750"/>
      <c r="D364" s="2750"/>
      <c r="E364" s="2750"/>
      <c r="F364" s="2750"/>
      <c r="G364" s="2750"/>
      <c r="H364" s="2750"/>
      <c r="I364" s="124"/>
      <c r="J364" s="54"/>
      <c r="K364" s="54"/>
      <c r="L364" s="54"/>
      <c r="M364" s="54"/>
      <c r="N364" s="54"/>
      <c r="O364" s="54"/>
      <c r="P364" s="54"/>
    </row>
    <row r="365" spans="1:16" ht="14.25" customHeight="1">
      <c r="A365" s="2745"/>
      <c r="B365" s="69" t="s">
        <v>957</v>
      </c>
      <c r="C365" s="2747"/>
      <c r="D365" s="2747"/>
      <c r="E365" s="2747"/>
      <c r="F365" s="2747"/>
      <c r="G365" s="2747"/>
      <c r="H365" s="2747"/>
      <c r="I365" s="124"/>
      <c r="J365" s="54"/>
      <c r="K365" s="54"/>
      <c r="L365" s="54"/>
      <c r="M365" s="54"/>
      <c r="N365" s="54"/>
      <c r="O365" s="54"/>
      <c r="P365" s="54"/>
    </row>
    <row r="366" spans="1:16" ht="14.25" customHeight="1">
      <c r="A366" s="2745"/>
      <c r="B366" s="69" t="s">
        <v>958</v>
      </c>
      <c r="C366" s="2747"/>
      <c r="D366" s="2747"/>
      <c r="E366" s="2747"/>
      <c r="F366" s="2747"/>
      <c r="G366" s="2747"/>
      <c r="H366" s="2747"/>
      <c r="I366" s="124"/>
      <c r="J366" s="54"/>
      <c r="K366" s="54"/>
      <c r="L366" s="54"/>
      <c r="M366" s="54"/>
      <c r="N366" s="54"/>
      <c r="O366" s="54"/>
      <c r="P366" s="54"/>
    </row>
    <row r="367" spans="1:16" ht="14.25" customHeight="1">
      <c r="A367" s="2745"/>
      <c r="B367" s="69" t="s">
        <v>959</v>
      </c>
      <c r="C367" s="2747"/>
      <c r="D367" s="2747"/>
      <c r="E367" s="2747"/>
      <c r="F367" s="2747"/>
      <c r="G367" s="2747"/>
      <c r="H367" s="2747"/>
      <c r="I367" s="124"/>
      <c r="J367" s="54"/>
      <c r="K367" s="54"/>
      <c r="L367" s="54"/>
      <c r="M367" s="54"/>
      <c r="N367" s="54"/>
      <c r="O367" s="54"/>
      <c r="P367" s="54"/>
    </row>
    <row r="368" spans="1:16" ht="14.25" customHeight="1">
      <c r="A368" s="2745"/>
      <c r="B368" s="69" t="s">
        <v>960</v>
      </c>
      <c r="C368" s="2747"/>
      <c r="D368" s="2747"/>
      <c r="E368" s="2747"/>
      <c r="F368" s="2747"/>
      <c r="G368" s="2747"/>
      <c r="H368" s="2747"/>
      <c r="I368" s="124"/>
      <c r="J368" s="54"/>
      <c r="K368" s="54"/>
      <c r="L368" s="54"/>
      <c r="M368" s="54"/>
      <c r="N368" s="54"/>
      <c r="O368" s="54"/>
      <c r="P368" s="54"/>
    </row>
    <row r="369" spans="1:16" ht="14.25" customHeight="1">
      <c r="A369" s="2745"/>
      <c r="B369" s="69" t="s">
        <v>961</v>
      </c>
      <c r="C369" s="2747"/>
      <c r="D369" s="2747"/>
      <c r="E369" s="2747"/>
      <c r="F369" s="2747"/>
      <c r="G369" s="2747"/>
      <c r="H369" s="2747"/>
      <c r="I369" s="124"/>
      <c r="J369" s="54"/>
      <c r="K369" s="54"/>
      <c r="L369" s="54"/>
      <c r="M369" s="54"/>
      <c r="N369" s="54"/>
      <c r="O369" s="54"/>
      <c r="P369" s="54"/>
    </row>
    <row r="370" spans="1:16" ht="14.25" customHeight="1" outlineLevel="1">
      <c r="A370" s="2745"/>
      <c r="B370" s="69"/>
      <c r="C370" s="2747"/>
      <c r="D370" s="2747"/>
      <c r="E370" s="2747"/>
      <c r="F370" s="2747"/>
      <c r="G370" s="2747"/>
      <c r="H370" s="2747"/>
      <c r="I370" s="124"/>
      <c r="J370" s="54"/>
      <c r="K370" s="54"/>
      <c r="L370" s="54"/>
      <c r="M370" s="54"/>
      <c r="N370" s="54"/>
      <c r="O370" s="54"/>
      <c r="P370" s="54"/>
    </row>
    <row r="371" spans="1:16" ht="14.25" customHeight="1" outlineLevel="1">
      <c r="A371" s="2745" t="s">
        <v>862</v>
      </c>
      <c r="B371" s="69" t="s">
        <v>962</v>
      </c>
      <c r="C371" s="2747"/>
      <c r="D371" s="2747"/>
      <c r="E371" s="2747"/>
      <c r="F371" s="2747"/>
      <c r="G371" s="2747"/>
      <c r="H371" s="2747"/>
      <c r="I371" s="124"/>
      <c r="J371" s="54"/>
      <c r="K371" s="54"/>
      <c r="L371" s="54"/>
      <c r="M371" s="54"/>
      <c r="N371" s="54"/>
      <c r="O371" s="54"/>
      <c r="P371" s="54"/>
    </row>
    <row r="372" spans="1:16" ht="14.25" customHeight="1" outlineLevel="1">
      <c r="A372" s="2745"/>
      <c r="B372" s="69" t="s">
        <v>969</v>
      </c>
      <c r="C372" s="2747"/>
      <c r="D372" s="2747"/>
      <c r="E372" s="2747"/>
      <c r="F372" s="2747"/>
      <c r="G372" s="2747"/>
      <c r="H372" s="2747"/>
      <c r="I372" s="54"/>
      <c r="J372" s="54"/>
      <c r="K372" s="54"/>
      <c r="L372" s="54"/>
      <c r="M372" s="54"/>
      <c r="N372" s="54"/>
      <c r="O372" s="54"/>
      <c r="P372" s="54"/>
    </row>
    <row r="373" spans="1:16" ht="14.25" customHeight="1" outlineLevel="1">
      <c r="A373" s="2745"/>
      <c r="B373" s="69"/>
      <c r="C373" s="2747"/>
      <c r="D373" s="2747"/>
      <c r="E373" s="2747"/>
      <c r="F373" s="2747"/>
      <c r="G373" s="2747"/>
      <c r="H373" s="2747"/>
      <c r="I373" s="54"/>
      <c r="J373" s="54"/>
      <c r="K373" s="54"/>
      <c r="L373" s="54"/>
      <c r="M373" s="54"/>
      <c r="N373" s="54"/>
      <c r="O373" s="54"/>
      <c r="P373" s="54"/>
    </row>
    <row r="374" spans="1:16" ht="14.25" customHeight="1" outlineLevel="1">
      <c r="A374" s="2745"/>
      <c r="B374" s="119"/>
      <c r="C374" s="447" t="s">
        <v>1258</v>
      </c>
      <c r="D374" s="448">
        <v>831912</v>
      </c>
      <c r="E374" s="119"/>
      <c r="F374" s="119" t="e">
        <f>FIXED(Protokoll!E63,2)&amp;" €."</f>
        <v>#VALUE!</v>
      </c>
      <c r="G374" s="119"/>
      <c r="H374" s="119"/>
      <c r="I374" s="54"/>
      <c r="J374" s="54"/>
      <c r="K374" s="54"/>
      <c r="L374" s="54"/>
      <c r="M374" s="54"/>
      <c r="N374" s="54"/>
      <c r="O374" s="54"/>
      <c r="P374" s="54"/>
    </row>
    <row r="375" spans="1:16" ht="14.25" customHeight="1" outlineLevel="1">
      <c r="A375" s="2745"/>
      <c r="B375" s="124"/>
      <c r="C375" s="124"/>
      <c r="D375" s="124"/>
      <c r="E375" s="124"/>
      <c r="F375" s="124"/>
      <c r="G375" s="124"/>
      <c r="H375" s="124"/>
      <c r="I375" s="54"/>
      <c r="J375" s="54"/>
      <c r="K375" s="54"/>
      <c r="L375" s="54"/>
      <c r="M375" s="54"/>
      <c r="N375" s="54"/>
      <c r="O375" s="54"/>
      <c r="P375" s="54"/>
    </row>
    <row r="376" spans="1:16" ht="14.25" customHeight="1" outlineLevel="1">
      <c r="A376" s="2745"/>
      <c r="B376" s="118" t="s">
        <v>963</v>
      </c>
      <c r="C376" s="124"/>
      <c r="D376" s="124"/>
      <c r="E376" s="124"/>
      <c r="F376" s="124"/>
      <c r="G376" s="124"/>
      <c r="H376" s="124"/>
      <c r="I376" s="54"/>
      <c r="J376" s="54"/>
      <c r="K376" s="54"/>
      <c r="L376" s="54"/>
      <c r="M376" s="54"/>
      <c r="N376" s="54"/>
      <c r="O376" s="54"/>
      <c r="P376" s="54"/>
    </row>
    <row r="377" spans="1:16" ht="14.25" customHeight="1" outlineLevel="1">
      <c r="A377" s="2745"/>
      <c r="B377" s="118" t="s">
        <v>977</v>
      </c>
      <c r="C377" s="124"/>
      <c r="D377" s="124"/>
      <c r="E377" s="124"/>
      <c r="F377" s="124"/>
      <c r="G377" s="124"/>
      <c r="H377" s="124"/>
      <c r="I377" s="54"/>
      <c r="J377" s="54"/>
      <c r="K377" s="54"/>
      <c r="L377" s="54"/>
      <c r="M377" s="54"/>
      <c r="N377" s="54"/>
      <c r="O377" s="54"/>
      <c r="P377" s="54"/>
    </row>
    <row r="378" spans="1:16" ht="14.25" customHeight="1" outlineLevel="1">
      <c r="A378" s="2745"/>
      <c r="B378" s="118" t="s">
        <v>964</v>
      </c>
      <c r="C378" s="124"/>
      <c r="D378" s="124"/>
      <c r="E378" s="124"/>
      <c r="F378" s="124"/>
      <c r="G378" s="124"/>
      <c r="H378" s="124"/>
      <c r="I378" s="54"/>
      <c r="J378" s="54"/>
      <c r="K378" s="54"/>
      <c r="L378" s="54"/>
      <c r="M378" s="54"/>
      <c r="N378" s="54"/>
      <c r="O378" s="54"/>
      <c r="P378" s="54"/>
    </row>
    <row r="379" spans="1:16" ht="14.25" customHeight="1" outlineLevel="1">
      <c r="A379" s="2745"/>
      <c r="B379" s="118"/>
      <c r="C379" s="124"/>
      <c r="D379" s="124"/>
      <c r="E379" s="124"/>
      <c r="F379" s="124"/>
      <c r="G379" s="124"/>
      <c r="H379" s="124"/>
      <c r="I379" s="54"/>
      <c r="J379" s="54"/>
      <c r="K379" s="54"/>
      <c r="L379" s="54"/>
      <c r="M379" s="54"/>
      <c r="N379" s="54"/>
      <c r="O379" s="54"/>
      <c r="P379" s="54"/>
    </row>
    <row r="380" spans="1:16" ht="14.25" customHeight="1" outlineLevel="1">
      <c r="A380" s="2745"/>
      <c r="B380" s="118" t="s">
        <v>965</v>
      </c>
      <c r="C380" s="124"/>
      <c r="D380" s="124"/>
      <c r="E380" s="124"/>
      <c r="F380" s="124"/>
      <c r="G380" s="124"/>
      <c r="H380" s="124"/>
      <c r="I380" s="54"/>
      <c r="J380" s="54"/>
      <c r="K380" s="54"/>
      <c r="L380" s="54"/>
      <c r="M380" s="54"/>
      <c r="N380" s="54"/>
      <c r="O380" s="54"/>
      <c r="P380" s="54"/>
    </row>
    <row r="381" spans="1:16" ht="14.25" customHeight="1" outlineLevel="1">
      <c r="A381" s="2745"/>
      <c r="B381" s="118" t="s">
        <v>1024</v>
      </c>
      <c r="C381" s="124"/>
      <c r="D381" s="124"/>
      <c r="E381" s="124"/>
      <c r="F381" s="124"/>
      <c r="G381" s="124"/>
      <c r="H381" s="124"/>
      <c r="I381" s="54"/>
      <c r="J381" s="54"/>
      <c r="K381" s="54"/>
      <c r="L381" s="54"/>
      <c r="M381" s="54"/>
      <c r="N381" s="54"/>
      <c r="O381" s="54"/>
      <c r="P381" s="54"/>
    </row>
    <row r="382" spans="1:16" ht="14.25" customHeight="1" outlineLevel="1">
      <c r="A382" s="2745"/>
      <c r="B382" s="118" t="s">
        <v>1255</v>
      </c>
      <c r="C382" s="124"/>
      <c r="D382" s="124"/>
      <c r="E382" s="124"/>
      <c r="F382" s="124"/>
      <c r="G382" s="124"/>
      <c r="H382" s="124"/>
      <c r="I382" s="54"/>
      <c r="J382" s="54"/>
      <c r="K382" s="54"/>
      <c r="L382" s="54"/>
      <c r="M382" s="54"/>
      <c r="N382" s="54"/>
      <c r="O382" s="54"/>
      <c r="P382" s="54"/>
    </row>
    <row r="383" spans="1:16" ht="14.25" customHeight="1">
      <c r="A383" s="2745"/>
      <c r="B383" s="69"/>
      <c r="C383" s="2747"/>
      <c r="D383" s="2747"/>
      <c r="E383" s="2747"/>
      <c r="F383" s="2747"/>
      <c r="G383" s="2747"/>
      <c r="H383" s="2747"/>
      <c r="I383" s="54"/>
      <c r="J383" s="54"/>
      <c r="K383" s="54"/>
      <c r="L383" s="54"/>
      <c r="M383" s="54"/>
      <c r="N383" s="54"/>
      <c r="O383" s="54"/>
      <c r="P383" s="54"/>
    </row>
    <row r="384" spans="1:16" ht="14.25" customHeight="1">
      <c r="A384" s="2745" t="str">
        <f>IF('Copy &amp; Paste'!H12="","8.","9.")</f>
        <v>8.</v>
      </c>
      <c r="B384" s="69" t="s">
        <v>863</v>
      </c>
      <c r="C384" s="2750"/>
      <c r="D384" s="2750"/>
      <c r="E384" s="2750"/>
      <c r="F384" s="2750"/>
      <c r="G384" s="2750"/>
      <c r="H384" s="2750"/>
      <c r="I384" s="54"/>
      <c r="J384" s="54"/>
      <c r="K384" s="54"/>
      <c r="L384" s="54"/>
      <c r="M384" s="54"/>
      <c r="N384" s="54"/>
      <c r="O384" s="54"/>
      <c r="P384" s="54"/>
    </row>
    <row r="385" spans="1:16" ht="14.25" customHeight="1">
      <c r="A385" s="2745"/>
      <c r="B385" s="69" t="s">
        <v>864</v>
      </c>
      <c r="C385" s="2750"/>
      <c r="D385" s="2750"/>
      <c r="E385" s="2750"/>
      <c r="F385" s="2750"/>
      <c r="G385" s="2750"/>
      <c r="H385" s="2750"/>
      <c r="I385" s="54"/>
      <c r="J385" s="54"/>
      <c r="K385" s="54"/>
      <c r="L385" s="54"/>
      <c r="M385" s="54"/>
      <c r="N385" s="54"/>
      <c r="O385" s="54"/>
      <c r="P385" s="54"/>
    </row>
    <row r="386" spans="1:16" ht="14.25" customHeight="1">
      <c r="A386" s="2745"/>
      <c r="B386" s="69"/>
      <c r="C386" s="2750"/>
      <c r="D386" s="2750"/>
      <c r="E386" s="2750"/>
      <c r="F386" s="2750"/>
      <c r="G386" s="2750"/>
      <c r="H386" s="2750"/>
      <c r="I386" s="54"/>
      <c r="J386" s="54"/>
      <c r="K386" s="54"/>
      <c r="L386" s="54"/>
      <c r="M386" s="54"/>
      <c r="N386" s="54"/>
      <c r="O386" s="54"/>
      <c r="P386" s="54"/>
    </row>
    <row r="387" spans="1:16" ht="14.25" customHeight="1">
      <c r="A387" s="2745"/>
      <c r="B387" s="69" t="s">
        <v>865</v>
      </c>
      <c r="C387" s="2750"/>
      <c r="D387" s="2750"/>
      <c r="E387" s="2750"/>
      <c r="F387" s="2750"/>
      <c r="G387" s="2750"/>
      <c r="H387" s="2750"/>
      <c r="I387" s="54"/>
      <c r="J387" s="54"/>
      <c r="K387" s="54"/>
      <c r="L387" s="54"/>
      <c r="M387" s="54"/>
      <c r="N387" s="54"/>
      <c r="O387" s="54"/>
      <c r="P387" s="54"/>
    </row>
    <row r="388" spans="1:16" ht="14.25" customHeight="1">
      <c r="A388" s="2745"/>
      <c r="B388" s="69"/>
      <c r="C388" s="2750"/>
      <c r="D388" s="2750"/>
      <c r="E388" s="2750"/>
      <c r="F388" s="2750"/>
      <c r="G388" s="2750"/>
      <c r="H388" s="2750"/>
      <c r="I388" s="54"/>
      <c r="J388" s="89"/>
      <c r="K388" s="54"/>
      <c r="L388" s="54"/>
      <c r="M388" s="54"/>
      <c r="N388" s="54"/>
      <c r="O388" s="54"/>
      <c r="P388" s="54"/>
    </row>
    <row r="389" spans="1:16" ht="14.25">
      <c r="A389" s="2745" t="str">
        <f>IF('Copy &amp; Paste'!H12="","9.","10.")</f>
        <v>9.</v>
      </c>
      <c r="B389" s="69" t="s">
        <v>866</v>
      </c>
      <c r="C389" s="2750"/>
      <c r="D389" s="2750"/>
      <c r="E389" s="2750"/>
      <c r="F389" s="2750"/>
      <c r="G389" s="2750"/>
      <c r="H389" s="2750"/>
      <c r="I389" s="54"/>
      <c r="J389" s="54"/>
      <c r="K389" s="54"/>
      <c r="L389" s="54"/>
      <c r="M389" s="54"/>
      <c r="N389" s="54"/>
      <c r="O389" s="54"/>
      <c r="P389" s="54"/>
    </row>
    <row r="390" spans="1:16" ht="14.25" customHeight="1">
      <c r="A390" s="2745"/>
      <c r="B390" s="69" t="s">
        <v>867</v>
      </c>
      <c r="C390" s="2750"/>
      <c r="D390" s="2750"/>
      <c r="E390" s="2750"/>
      <c r="F390" s="2750"/>
      <c r="G390" s="2750"/>
      <c r="H390" s="2750"/>
      <c r="I390" s="54"/>
      <c r="J390" s="54"/>
      <c r="K390" s="54"/>
      <c r="L390" s="54"/>
      <c r="M390" s="54"/>
      <c r="N390" s="54"/>
      <c r="O390" s="54"/>
      <c r="P390" s="54"/>
    </row>
    <row r="391" spans="1:16" ht="14.25" customHeight="1">
      <c r="A391" s="2745"/>
      <c r="B391" s="69" t="s">
        <v>868</v>
      </c>
      <c r="C391" s="2750"/>
      <c r="D391" s="2750"/>
      <c r="E391" s="2750"/>
      <c r="F391" s="2750"/>
      <c r="G391" s="2750"/>
      <c r="H391" s="2750"/>
      <c r="I391" s="54"/>
      <c r="J391" s="54"/>
      <c r="K391" s="54"/>
      <c r="L391" s="54"/>
      <c r="M391" s="54"/>
      <c r="N391" s="54"/>
      <c r="O391" s="54"/>
      <c r="P391" s="54"/>
    </row>
    <row r="392" spans="1:16" ht="14.25">
      <c r="A392" s="2745"/>
      <c r="B392" s="69" t="s">
        <v>869</v>
      </c>
      <c r="C392" s="2750"/>
      <c r="D392" s="2750"/>
      <c r="E392" s="2750"/>
      <c r="F392" s="2750"/>
      <c r="G392" s="2750"/>
      <c r="H392" s="2750"/>
      <c r="I392" s="54"/>
      <c r="J392" s="54"/>
      <c r="K392" s="54"/>
      <c r="L392" s="54"/>
      <c r="M392" s="54"/>
      <c r="N392" s="54"/>
      <c r="O392" s="54"/>
      <c r="P392" s="54"/>
    </row>
    <row r="393" spans="1:16" ht="14.25" customHeight="1">
      <c r="A393" s="2745"/>
      <c r="B393" s="69"/>
      <c r="C393" s="2750"/>
      <c r="D393" s="2750"/>
      <c r="E393" s="2750"/>
      <c r="F393" s="2750"/>
      <c r="G393" s="2750"/>
      <c r="H393" s="2750"/>
      <c r="I393" s="54"/>
      <c r="J393" s="54"/>
      <c r="K393" s="54"/>
      <c r="L393" s="54"/>
      <c r="M393" s="54"/>
      <c r="N393" s="54"/>
      <c r="O393" s="54"/>
      <c r="P393" s="54"/>
    </row>
    <row r="394" spans="1:16" ht="14.25" customHeight="1">
      <c r="A394" s="2745" t="str">
        <f>IF('Copy &amp; Paste'!H12="","10.","11.")</f>
        <v>10.</v>
      </c>
      <c r="B394" s="69" t="s">
        <v>870</v>
      </c>
      <c r="C394" s="2750"/>
      <c r="D394" s="2750"/>
      <c r="E394" s="2750"/>
      <c r="F394" s="2750"/>
      <c r="G394" s="2750"/>
      <c r="H394" s="2750"/>
      <c r="I394" s="54"/>
      <c r="J394" s="54"/>
      <c r="K394" s="54"/>
      <c r="L394" s="54"/>
      <c r="M394" s="54"/>
      <c r="N394" s="54"/>
      <c r="O394" s="54"/>
      <c r="P394" s="54"/>
    </row>
    <row r="395" spans="1:16" ht="14.25" customHeight="1">
      <c r="A395" s="2745"/>
      <c r="B395" s="69" t="s">
        <v>871</v>
      </c>
      <c r="C395" s="2750"/>
      <c r="D395" s="2750"/>
      <c r="E395" s="2750"/>
      <c r="F395" s="2750"/>
      <c r="G395" s="2750"/>
      <c r="H395" s="2750"/>
      <c r="I395" s="54"/>
      <c r="J395" s="54"/>
      <c r="K395" s="54"/>
      <c r="L395" s="54"/>
      <c r="M395" s="54"/>
      <c r="N395" s="54"/>
      <c r="O395" s="54"/>
      <c r="P395" s="54"/>
    </row>
    <row r="396" spans="1:16" ht="14.25" customHeight="1">
      <c r="A396" s="2745"/>
      <c r="B396" s="69" t="s">
        <v>872</v>
      </c>
      <c r="C396" s="2750"/>
      <c r="D396" s="2750"/>
      <c r="E396" s="2750"/>
      <c r="F396" s="2750"/>
      <c r="G396" s="2750"/>
      <c r="H396" s="2750"/>
      <c r="I396" s="54"/>
      <c r="J396" s="54"/>
      <c r="K396" s="54"/>
      <c r="L396" s="54"/>
      <c r="M396" s="54"/>
      <c r="N396" s="54"/>
      <c r="O396" s="54"/>
      <c r="P396" s="54"/>
    </row>
    <row r="397" spans="1:16" ht="14.25" customHeight="1">
      <c r="A397" s="2745"/>
      <c r="B397" s="69" t="s">
        <v>873</v>
      </c>
      <c r="C397" s="2750"/>
      <c r="D397" s="2750"/>
      <c r="E397" s="2750"/>
      <c r="F397" s="2750"/>
      <c r="G397" s="2750"/>
      <c r="H397" s="2750"/>
      <c r="I397" s="54"/>
      <c r="J397" s="54"/>
      <c r="K397" s="54"/>
      <c r="L397" s="54"/>
      <c r="M397" s="54"/>
      <c r="N397" s="54"/>
      <c r="O397" s="54"/>
      <c r="P397" s="54"/>
    </row>
    <row r="398" spans="1:16" ht="14.25" customHeight="1">
      <c r="A398" s="2745"/>
      <c r="B398" s="69"/>
      <c r="C398" s="2750"/>
      <c r="D398" s="2750"/>
      <c r="E398" s="2750"/>
      <c r="F398" s="2750"/>
      <c r="G398" s="2750"/>
      <c r="H398" s="2750"/>
      <c r="I398" s="54"/>
      <c r="J398" s="54"/>
      <c r="K398" s="54"/>
      <c r="L398" s="54"/>
      <c r="M398" s="54"/>
      <c r="N398" s="54"/>
      <c r="O398" s="54"/>
      <c r="P398" s="54"/>
    </row>
    <row r="399" spans="1:16" ht="14.25" customHeight="1">
      <c r="A399" s="4641" t="s">
        <v>319</v>
      </c>
      <c r="B399" s="4641"/>
      <c r="C399" s="4641"/>
      <c r="D399" s="4641"/>
      <c r="E399" s="4641"/>
      <c r="F399" s="4641"/>
      <c r="G399" s="4641"/>
      <c r="H399" s="4641"/>
      <c r="I399" s="4641"/>
      <c r="J399" s="54"/>
      <c r="K399" s="54"/>
      <c r="L399" s="54"/>
      <c r="M399" s="54"/>
      <c r="N399" s="54"/>
      <c r="O399" s="54"/>
      <c r="P399" s="54"/>
    </row>
    <row r="400" spans="1:16" ht="14.25" customHeight="1">
      <c r="A400" s="4641" t="s">
        <v>116</v>
      </c>
      <c r="B400" s="4641"/>
      <c r="C400" s="4641"/>
      <c r="D400" s="4641"/>
      <c r="E400" s="4641"/>
      <c r="F400" s="4641"/>
      <c r="G400" s="4641"/>
      <c r="H400" s="4641"/>
      <c r="I400" s="4641"/>
      <c r="J400" s="54"/>
      <c r="K400" s="54"/>
      <c r="L400" s="54"/>
      <c r="M400" s="54"/>
      <c r="N400" s="54"/>
      <c r="O400" s="54"/>
      <c r="P400" s="54"/>
    </row>
    <row r="401" spans="1:16" ht="14.25" customHeight="1">
      <c r="A401" s="54"/>
      <c r="B401" s="54"/>
      <c r="C401" s="2750"/>
      <c r="D401" s="2750"/>
      <c r="E401" s="2750"/>
      <c r="F401" s="2750"/>
      <c r="G401" s="2750"/>
      <c r="H401" s="2750"/>
      <c r="I401" s="54"/>
      <c r="J401" s="54"/>
      <c r="K401" s="54"/>
      <c r="L401" s="54"/>
      <c r="M401" s="54"/>
      <c r="N401" s="54"/>
      <c r="O401" s="54"/>
      <c r="P401" s="54"/>
    </row>
    <row r="402" spans="1:16" ht="14.25" customHeight="1">
      <c r="A402" s="54" t="s">
        <v>999</v>
      </c>
      <c r="B402" s="54"/>
      <c r="C402" s="2750"/>
      <c r="D402" s="2750"/>
      <c r="E402" s="2750"/>
      <c r="F402" s="2750"/>
      <c r="G402" s="2750"/>
      <c r="H402" s="2750"/>
      <c r="I402" s="54"/>
      <c r="J402" s="54"/>
      <c r="K402" s="54"/>
      <c r="L402" s="54"/>
      <c r="M402" s="54"/>
      <c r="N402" s="54"/>
      <c r="O402" s="54"/>
      <c r="P402" s="54"/>
    </row>
    <row r="403" spans="1:16" ht="14.25" customHeight="1">
      <c r="A403" s="54" t="s">
        <v>874</v>
      </c>
      <c r="B403" s="54"/>
      <c r="C403" s="2750"/>
      <c r="D403" s="2750"/>
      <c r="E403" s="2750"/>
      <c r="F403" s="2750"/>
      <c r="G403" s="2750"/>
      <c r="H403" s="2750"/>
      <c r="I403" s="54"/>
      <c r="J403" s="54"/>
      <c r="K403" s="54"/>
      <c r="L403" s="54"/>
      <c r="M403" s="54"/>
      <c r="N403" s="54"/>
      <c r="O403" s="54"/>
      <c r="P403" s="54"/>
    </row>
    <row r="404" spans="1:16" ht="14.25" customHeight="1">
      <c r="A404" s="54" t="s">
        <v>875</v>
      </c>
      <c r="B404" s="54"/>
      <c r="C404" s="2750"/>
      <c r="D404" s="2750"/>
      <c r="E404" s="2750"/>
      <c r="F404" s="2750"/>
      <c r="G404" s="2750"/>
      <c r="H404" s="2750"/>
      <c r="I404" s="54"/>
      <c r="J404" s="54"/>
      <c r="K404" s="54"/>
      <c r="L404" s="54"/>
      <c r="M404" s="54"/>
      <c r="N404" s="54"/>
      <c r="O404" s="54"/>
      <c r="P404" s="54"/>
    </row>
    <row r="405" spans="1:16" ht="14.25" customHeight="1">
      <c r="A405" s="54"/>
      <c r="B405" s="54"/>
      <c r="C405" s="2750"/>
      <c r="D405" s="2750"/>
      <c r="E405" s="2750"/>
      <c r="F405" s="2750"/>
      <c r="G405" s="2750"/>
      <c r="H405" s="2750"/>
      <c r="I405" s="54"/>
      <c r="J405" s="54"/>
      <c r="K405" s="54"/>
      <c r="L405" s="54"/>
      <c r="M405" s="54"/>
      <c r="N405" s="54"/>
      <c r="O405" s="54"/>
      <c r="P405" s="54"/>
    </row>
    <row r="406" spans="1:16" ht="14.25" customHeight="1">
      <c r="A406" s="54"/>
      <c r="B406" s="54"/>
      <c r="C406" s="2750"/>
      <c r="D406" s="2750"/>
      <c r="E406" s="2750"/>
      <c r="F406" s="2750"/>
      <c r="G406" s="2750"/>
      <c r="H406" s="2750"/>
      <c r="I406" s="54"/>
      <c r="J406" s="54"/>
      <c r="K406" s="54"/>
      <c r="L406" s="54"/>
      <c r="M406" s="54"/>
      <c r="N406" s="54"/>
      <c r="O406" s="54"/>
      <c r="P406" s="54"/>
    </row>
    <row r="407" spans="1:16" ht="14.25" customHeight="1">
      <c r="A407" s="4645" t="s">
        <v>1485</v>
      </c>
      <c r="B407" s="4623"/>
      <c r="C407" s="4623"/>
      <c r="D407" s="4623"/>
      <c r="E407" s="4623"/>
      <c r="F407" s="4623"/>
      <c r="G407" s="4623"/>
      <c r="H407" s="4623"/>
      <c r="I407" s="4623"/>
      <c r="J407" s="54"/>
      <c r="K407" s="54"/>
      <c r="L407" s="54"/>
      <c r="M407" s="54"/>
      <c r="N407" s="54"/>
      <c r="O407" s="54"/>
      <c r="P407" s="54"/>
    </row>
    <row r="408" spans="1:16" ht="14.25" customHeight="1">
      <c r="A408" s="54"/>
      <c r="B408" s="54"/>
      <c r="C408" s="2750"/>
      <c r="D408" s="2750"/>
      <c r="E408" s="2750"/>
      <c r="F408" s="2750"/>
      <c r="G408" s="2750"/>
      <c r="H408" s="2750"/>
      <c r="I408" s="54"/>
      <c r="J408" s="54"/>
      <c r="K408" s="54"/>
      <c r="L408" s="54"/>
      <c r="M408" s="54"/>
      <c r="N408" s="54"/>
      <c r="O408" s="54"/>
      <c r="P408" s="54"/>
    </row>
    <row r="409" spans="1:16" ht="14.25" customHeight="1">
      <c r="A409" s="4641" t="s">
        <v>851</v>
      </c>
      <c r="B409" s="4641"/>
      <c r="C409" s="4641"/>
      <c r="D409" s="4641"/>
      <c r="E409" s="4641"/>
      <c r="F409" s="4641"/>
      <c r="G409" s="4641"/>
      <c r="H409" s="4641"/>
      <c r="I409" s="4641"/>
      <c r="J409" s="54"/>
      <c r="K409" s="54"/>
      <c r="L409" s="54"/>
      <c r="M409" s="54"/>
      <c r="N409" s="54"/>
      <c r="O409" s="54"/>
      <c r="P409" s="54"/>
    </row>
    <row r="410" spans="1:16" ht="14.25" customHeight="1">
      <c r="A410" s="4641" t="s">
        <v>876</v>
      </c>
      <c r="B410" s="4641"/>
      <c r="C410" s="4641"/>
      <c r="D410" s="4641"/>
      <c r="E410" s="4641"/>
      <c r="F410" s="4641"/>
      <c r="G410" s="4641"/>
      <c r="H410" s="4641"/>
      <c r="I410" s="4641"/>
      <c r="J410" s="54"/>
      <c r="K410" s="54"/>
      <c r="L410" s="54"/>
      <c r="M410" s="54"/>
      <c r="N410" s="54"/>
      <c r="O410" s="54"/>
      <c r="P410" s="54"/>
    </row>
    <row r="411" spans="1:16" ht="14.25" customHeight="1">
      <c r="A411" s="54"/>
      <c r="B411" s="54"/>
      <c r="C411" s="2746"/>
      <c r="D411" s="2746"/>
      <c r="E411" s="2746"/>
      <c r="F411" s="2746"/>
      <c r="G411" s="2746"/>
      <c r="H411" s="2746"/>
      <c r="I411" s="54"/>
      <c r="J411" s="54"/>
      <c r="K411" s="54"/>
      <c r="L411" s="54"/>
      <c r="M411" s="54"/>
      <c r="N411" s="54"/>
      <c r="O411" s="54"/>
      <c r="P411" s="54"/>
    </row>
    <row r="412" spans="1:16" ht="14.25" customHeight="1">
      <c r="A412" s="54" t="str">
        <f>"Diese Vergütungsvereinbarung tritt am "&amp;TEXT(Protokoll!B11,"TT.MM.JJJJ")&amp;" in Kraft und gilt bis zum "&amp;TEXT(Protokoll!D11,"TT.MM.JJJJ")&amp;"."</f>
        <v>Diese Vergütungsvereinbarung tritt am 01.03.2025 in Kraft und gilt bis zum 28.02.2026.</v>
      </c>
      <c r="C412" s="54"/>
      <c r="D412" s="54"/>
      <c r="E412" s="54"/>
      <c r="F412" s="54"/>
      <c r="G412" s="54"/>
      <c r="H412" s="54"/>
      <c r="I412" s="54"/>
      <c r="J412" s="54"/>
      <c r="K412" s="54"/>
      <c r="L412" s="54"/>
      <c r="M412" s="54"/>
      <c r="N412" s="54"/>
      <c r="O412" s="54"/>
      <c r="P412" s="54"/>
    </row>
    <row r="413" spans="1:16" ht="14.25" customHeight="1">
      <c r="A413" s="63"/>
      <c r="B413" s="54"/>
      <c r="C413" s="54"/>
      <c r="D413" s="54"/>
      <c r="E413" s="54"/>
      <c r="F413" s="54"/>
      <c r="G413" s="54"/>
      <c r="H413" s="54"/>
      <c r="I413" s="54"/>
      <c r="J413" s="54"/>
      <c r="K413" s="54"/>
      <c r="L413" s="54"/>
      <c r="M413" s="54"/>
      <c r="N413" s="54"/>
      <c r="O413" s="54"/>
      <c r="P413" s="54"/>
    </row>
    <row r="414" spans="1:16" ht="14.25" customHeight="1">
      <c r="A414" s="54" t="s">
        <v>1375</v>
      </c>
      <c r="B414" s="54"/>
      <c r="C414" s="54"/>
      <c r="D414" s="54"/>
      <c r="E414" s="54"/>
      <c r="F414" s="54"/>
      <c r="G414" s="54"/>
      <c r="H414" s="54"/>
      <c r="I414" s="54"/>
      <c r="J414" s="54"/>
      <c r="K414" s="54"/>
      <c r="L414" s="54"/>
      <c r="M414" s="54"/>
      <c r="N414" s="54"/>
      <c r="O414" s="54"/>
      <c r="P414" s="54"/>
    </row>
    <row r="415" spans="1:16" ht="14.25" customHeight="1">
      <c r="A415" s="54" t="s">
        <v>996</v>
      </c>
      <c r="B415" s="54"/>
      <c r="C415" s="54"/>
      <c r="D415" s="54"/>
      <c r="E415" s="54"/>
      <c r="F415" s="54"/>
      <c r="G415" s="54"/>
      <c r="H415" s="54"/>
      <c r="I415" s="54"/>
      <c r="J415" s="54"/>
      <c r="K415" s="54"/>
      <c r="L415" s="54"/>
      <c r="M415" s="54"/>
      <c r="N415" s="54"/>
      <c r="O415" s="54"/>
      <c r="P415" s="54"/>
    </row>
    <row r="416" spans="1:16" ht="14.25" customHeight="1">
      <c r="A416" s="54" t="s">
        <v>877</v>
      </c>
      <c r="B416" s="54"/>
      <c r="C416" s="54"/>
      <c r="D416" s="54"/>
      <c r="E416" s="54"/>
      <c r="F416" s="54"/>
      <c r="G416" s="54"/>
      <c r="H416" s="54"/>
      <c r="I416" s="54"/>
      <c r="J416" s="54"/>
      <c r="K416" s="54"/>
      <c r="L416" s="54"/>
      <c r="M416" s="54"/>
      <c r="N416" s="54"/>
      <c r="O416" s="54"/>
      <c r="P416" s="54"/>
    </row>
    <row r="417" spans="1:16" ht="14.25" customHeight="1">
      <c r="A417" s="54" t="s">
        <v>878</v>
      </c>
      <c r="B417" s="54"/>
      <c r="C417" s="54"/>
      <c r="D417" s="54"/>
      <c r="E417" s="54"/>
      <c r="F417" s="54"/>
      <c r="G417" s="54"/>
      <c r="H417" s="54"/>
      <c r="I417" s="54"/>
      <c r="J417" s="54"/>
      <c r="K417" s="54"/>
      <c r="L417" s="54"/>
      <c r="M417" s="54"/>
      <c r="N417" s="54"/>
      <c r="O417" s="54"/>
      <c r="P417" s="54"/>
    </row>
    <row r="418" spans="1:16" ht="14.25" customHeight="1">
      <c r="A418" s="54"/>
      <c r="B418" s="54"/>
      <c r="C418" s="54"/>
      <c r="D418" s="54"/>
      <c r="E418" s="54"/>
      <c r="F418" s="54"/>
      <c r="G418" s="54"/>
      <c r="H418" s="54"/>
      <c r="I418" s="54"/>
      <c r="J418" s="54"/>
      <c r="K418" s="54"/>
      <c r="L418" s="54"/>
      <c r="M418" s="54"/>
      <c r="N418" s="54"/>
      <c r="O418" s="54"/>
      <c r="P418" s="54"/>
    </row>
    <row r="419" spans="1:16" ht="14.25" hidden="1" customHeight="1" outlineLevel="1">
      <c r="A419" s="54" t="s">
        <v>1970</v>
      </c>
      <c r="B419" s="54"/>
      <c r="C419" s="54"/>
      <c r="D419" s="54"/>
      <c r="E419" s="54"/>
      <c r="F419" s="54"/>
      <c r="G419" s="54"/>
      <c r="H419" s="54"/>
      <c r="I419" s="54"/>
      <c r="J419" s="54"/>
      <c r="K419" s="54"/>
      <c r="L419" s="54"/>
      <c r="M419" s="54"/>
      <c r="N419" s="54"/>
      <c r="O419" s="54"/>
      <c r="P419" s="54"/>
    </row>
    <row r="420" spans="1:16" ht="14.25" hidden="1" customHeight="1" outlineLevel="1">
      <c r="A420" s="54" t="s">
        <v>1968</v>
      </c>
      <c r="B420" s="54"/>
      <c r="C420" s="54"/>
      <c r="D420" s="54"/>
      <c r="E420" s="54"/>
      <c r="F420" s="54"/>
      <c r="G420" s="54"/>
      <c r="H420" s="54"/>
      <c r="I420" s="54"/>
      <c r="J420" s="54"/>
      <c r="K420" s="54"/>
      <c r="L420" s="54"/>
      <c r="M420" s="54"/>
      <c r="N420" s="54"/>
      <c r="O420" s="54"/>
      <c r="P420" s="54"/>
    </row>
    <row r="421" spans="1:16" ht="14.25" hidden="1" outlineLevel="1">
      <c r="A421" s="54" t="s">
        <v>1969</v>
      </c>
      <c r="B421" s="54"/>
      <c r="C421" s="54"/>
      <c r="D421" s="54"/>
      <c r="E421" s="54"/>
      <c r="F421" s="54"/>
      <c r="G421" s="54"/>
      <c r="H421" s="54"/>
      <c r="I421" s="54"/>
      <c r="J421" s="54"/>
      <c r="K421" s="54"/>
      <c r="L421" s="54"/>
      <c r="M421" s="54"/>
      <c r="N421" s="54"/>
      <c r="O421" s="54"/>
      <c r="P421" s="54"/>
    </row>
    <row r="422" spans="1:16" ht="14.25" collapsed="1">
      <c r="A422" s="54"/>
      <c r="B422" s="54"/>
      <c r="C422" s="54"/>
      <c r="D422" s="54"/>
      <c r="E422" s="54"/>
      <c r="F422" s="54"/>
      <c r="G422" s="54"/>
      <c r="H422" s="54"/>
      <c r="I422" s="54"/>
      <c r="J422" s="54"/>
      <c r="K422" s="54"/>
      <c r="L422" s="54"/>
      <c r="M422" s="54"/>
      <c r="N422" s="54"/>
      <c r="O422" s="54"/>
      <c r="P422" s="54"/>
    </row>
    <row r="423" spans="1:16" ht="14.25" customHeight="1">
      <c r="A423" s="90" t="e">
        <f ca="1">IF(Ort_Träger=VLOOKUP(Ort,Datenbereich,6,FALSE),"",Ort_Träger&amp;", ")&amp;VLOOKUP(Ort,Datenbereich,6,FALSE)&amp;", "&amp;IF(Ort_Träger="Münster","",IF(Ort_Träger="Köln","",VLOOKUP(Ort,Datenbereich,7,FALSE)&amp;", "))&amp;TEXT(TODAY(),"TT.MM.JJJJ")</f>
        <v>#N/A</v>
      </c>
      <c r="B423" s="69"/>
      <c r="C423" s="54"/>
      <c r="D423" s="54"/>
      <c r="E423" s="54"/>
      <c r="F423" s="54"/>
      <c r="G423" s="54"/>
      <c r="H423" s="54"/>
      <c r="I423" s="76"/>
      <c r="J423" s="76"/>
      <c r="K423" s="76"/>
      <c r="L423" s="76"/>
      <c r="M423" s="76"/>
      <c r="N423" s="76"/>
      <c r="O423" s="76"/>
      <c r="P423" s="76"/>
    </row>
    <row r="424" spans="1:16" ht="14.25" customHeight="1">
      <c r="A424" s="91"/>
      <c r="B424" s="67"/>
      <c r="C424" s="54"/>
      <c r="D424" s="54"/>
      <c r="E424" s="54"/>
      <c r="F424" s="54"/>
      <c r="G424" s="54"/>
      <c r="H424" s="54"/>
      <c r="I424" s="2745"/>
      <c r="J424" s="2745"/>
      <c r="K424" s="2745"/>
      <c r="L424" s="2745"/>
      <c r="M424" s="2745"/>
      <c r="N424" s="2745"/>
      <c r="O424" s="2745"/>
      <c r="P424" s="2745"/>
    </row>
    <row r="425" spans="1:16" ht="14.25" customHeight="1">
      <c r="A425" s="94"/>
      <c r="B425" s="94"/>
      <c r="C425" s="54"/>
      <c r="D425" s="54"/>
      <c r="E425" s="54"/>
      <c r="F425" s="54"/>
      <c r="G425" s="54"/>
      <c r="H425" s="54"/>
    </row>
    <row r="426" spans="1:16" ht="14.25" customHeight="1">
      <c r="A426" s="94"/>
      <c r="B426" s="94"/>
      <c r="C426" s="54"/>
      <c r="D426" s="54"/>
      <c r="E426" s="54"/>
      <c r="F426" s="54"/>
      <c r="G426" s="54"/>
      <c r="H426" s="54"/>
    </row>
    <row r="427" spans="1:16" ht="14.25" customHeight="1">
      <c r="A427" s="93"/>
      <c r="B427" s="93"/>
      <c r="C427" s="69"/>
      <c r="D427" s="69"/>
      <c r="E427" s="69"/>
      <c r="F427" s="69"/>
      <c r="G427" s="69"/>
      <c r="H427" s="67"/>
    </row>
    <row r="428" spans="1:16" ht="14.25" customHeight="1">
      <c r="A428" s="93"/>
      <c r="B428" s="93"/>
      <c r="C428" s="54"/>
      <c r="D428" s="54"/>
      <c r="E428" s="54"/>
      <c r="F428" s="54"/>
      <c r="G428" s="54"/>
      <c r="H428" s="54"/>
    </row>
    <row r="429" spans="1:16" ht="14.25" customHeight="1">
      <c r="A429" s="93"/>
      <c r="B429" s="93"/>
    </row>
    <row r="430" spans="1:16" ht="14.25" customHeight="1">
      <c r="A430" s="93"/>
      <c r="B430" s="93"/>
    </row>
    <row r="431" spans="1:16" ht="14.25" customHeight="1">
      <c r="A431" s="93"/>
      <c r="B431" s="93"/>
    </row>
    <row r="432" spans="1:16" ht="14.25" customHeight="1">
      <c r="A432" s="93"/>
      <c r="B432" s="93"/>
    </row>
    <row r="433" spans="1:8" ht="14.25" customHeight="1" thickBot="1">
      <c r="A433" s="92"/>
      <c r="B433" s="92"/>
      <c r="C433" s="92"/>
      <c r="D433" s="92"/>
      <c r="E433" s="92"/>
      <c r="F433" s="54"/>
      <c r="G433" s="92"/>
      <c r="H433" s="92"/>
    </row>
    <row r="434" spans="1:8" ht="14.25" customHeight="1">
      <c r="A434" s="4617" t="str">
        <f>CONCATENATE(Träger," ",Träger2)</f>
        <v xml:space="preserve"> </v>
      </c>
      <c r="B434" s="4617"/>
      <c r="C434" s="4617"/>
      <c r="D434" s="4617"/>
      <c r="E434" s="4617"/>
      <c r="F434" s="93"/>
      <c r="G434" s="4619" t="s">
        <v>355</v>
      </c>
      <c r="H434" s="4619"/>
    </row>
    <row r="435" spans="1:8" ht="14.25" customHeight="1">
      <c r="A435" s="4618"/>
      <c r="B435" s="4618"/>
      <c r="C435" s="4618"/>
      <c r="D435" s="4618"/>
      <c r="E435" s="4618"/>
      <c r="F435" s="93"/>
      <c r="G435" s="4620" t="str">
        <f>"in Nordrhein-Westfalen, vertreten durch"</f>
        <v>in Nordrhein-Westfalen, vertreten durch</v>
      </c>
      <c r="H435" s="4620"/>
    </row>
    <row r="436" spans="1:8" ht="14.25" customHeight="1">
      <c r="A436" s="4618"/>
      <c r="B436" s="4618"/>
      <c r="C436" s="4618"/>
      <c r="D436" s="4618"/>
      <c r="E436" s="4618"/>
      <c r="F436" s="93"/>
      <c r="G436"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436" s="4620"/>
    </row>
    <row r="437" spans="1:8" ht="14.25" customHeight="1">
      <c r="G437" s="4601" t="str">
        <f>IF('Copy &amp; Paste'!I1="BEK","der Pflegekasse der BARMER",IF('Copy &amp; Paste'!I1="BEK Schade","der Pflegekasse der BARMER",IF('Copy &amp; Paste'!I1="DAK"," der DAK-Gesundheit-PFLEGEKASSE",IF('Copy &amp; Paste'!I1="vdek","",IF(Ergebnis!C3="AOK WL","- die Gesundheitskasse.",IF(Ergebnis!C3="AOK NO","- die Gesundheitskasse.",""))))))</f>
        <v/>
      </c>
      <c r="H437" s="4601"/>
    </row>
    <row r="438" spans="1:8" ht="14.25" customHeight="1"/>
    <row r="439" spans="1:8" ht="14.25" customHeight="1"/>
    <row r="440" spans="1:8" ht="14.25" customHeight="1"/>
    <row r="441" spans="1:8" ht="14.25" customHeight="1"/>
    <row r="442" spans="1:8" ht="14.25" customHeight="1"/>
    <row r="443" spans="1:8" ht="14.25" customHeight="1"/>
    <row r="444" spans="1:8" ht="14.25" customHeight="1" thickBot="1">
      <c r="G444" s="120" t="s">
        <v>351</v>
      </c>
      <c r="H444" s="120"/>
    </row>
    <row r="445" spans="1:8" ht="14.25" customHeight="1">
      <c r="G445" s="4639" t="str">
        <f>IF(Ergebnis!$C$2="Westfalen-Lippe","Der Direktor des Landschaftsverbandes","Die Direktorin des Landschaftsverbandes")</f>
        <v>Die Direktorin des Landschaftsverbandes</v>
      </c>
      <c r="H445" s="4639"/>
    </row>
    <row r="446" spans="1:8" ht="14.25" customHeight="1">
      <c r="G446" s="4640" t="str">
        <f>IF(Ergebnis!$C$2="Westfalen-Lippe","Westfalen-Lippe","Rheinland")</f>
        <v>Rheinland</v>
      </c>
      <c r="H446" s="4640"/>
    </row>
    <row r="447" spans="1:8" ht="14.25" customHeight="1"/>
    <row r="448" spans="1: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sheetData>
  <mergeCells count="78">
    <mergeCell ref="E222:F222"/>
    <mergeCell ref="A233:I233"/>
    <mergeCell ref="F193:G193"/>
    <mergeCell ref="B213:H213"/>
    <mergeCell ref="B214:H214"/>
    <mergeCell ref="A216:I216"/>
    <mergeCell ref="A217:I217"/>
    <mergeCell ref="D193:E193"/>
    <mergeCell ref="G445:H445"/>
    <mergeCell ref="G446:H446"/>
    <mergeCell ref="A407:I407"/>
    <mergeCell ref="A410:I410"/>
    <mergeCell ref="A434:E436"/>
    <mergeCell ref="G434:H434"/>
    <mergeCell ref="G435:H435"/>
    <mergeCell ref="G436:H436"/>
    <mergeCell ref="G437:H437"/>
    <mergeCell ref="A409:I409"/>
    <mergeCell ref="D165:I165"/>
    <mergeCell ref="B205:H205"/>
    <mergeCell ref="B211:H211"/>
    <mergeCell ref="B212:H212"/>
    <mergeCell ref="A171:I171"/>
    <mergeCell ref="B188:C188"/>
    <mergeCell ref="D188:E188"/>
    <mergeCell ref="F188:G188"/>
    <mergeCell ref="D166:I166"/>
    <mergeCell ref="F190:G190"/>
    <mergeCell ref="F191:G191"/>
    <mergeCell ref="F189:G189"/>
    <mergeCell ref="D189:E189"/>
    <mergeCell ref="D190:E190"/>
    <mergeCell ref="D191:E191"/>
    <mergeCell ref="D192:E192"/>
    <mergeCell ref="F192:G192"/>
    <mergeCell ref="B189:C189"/>
    <mergeCell ref="B190:C190"/>
    <mergeCell ref="B191:C191"/>
    <mergeCell ref="B198:C198"/>
    <mergeCell ref="B193:C193"/>
    <mergeCell ref="B192:C192"/>
    <mergeCell ref="A399:I399"/>
    <mergeCell ref="A400:I400"/>
    <mergeCell ref="A234:I234"/>
    <mergeCell ref="A271:I271"/>
    <mergeCell ref="A318:I318"/>
    <mergeCell ref="A319:I319"/>
    <mergeCell ref="A355:I355"/>
    <mergeCell ref="A360:I360"/>
    <mergeCell ref="A348:I348"/>
    <mergeCell ref="A239:I239"/>
    <mergeCell ref="A316:I316"/>
    <mergeCell ref="A299:I299"/>
    <mergeCell ref="D130:F130"/>
    <mergeCell ref="A135:H135"/>
    <mergeCell ref="A136:H136"/>
    <mergeCell ref="A150:H150"/>
    <mergeCell ref="A149:H149"/>
    <mergeCell ref="D125:F125"/>
    <mergeCell ref="D126:F126"/>
    <mergeCell ref="D127:F127"/>
    <mergeCell ref="D128:F128"/>
    <mergeCell ref="D129:F129"/>
    <mergeCell ref="C122:C124"/>
    <mergeCell ref="D122:F124"/>
    <mergeCell ref="A117:I117"/>
    <mergeCell ref="A2:I2"/>
    <mergeCell ref="A3:I3"/>
    <mergeCell ref="A4:I4"/>
    <mergeCell ref="A53:I53"/>
    <mergeCell ref="A55:I55"/>
    <mergeCell ref="A56:I56"/>
    <mergeCell ref="A65:I65"/>
    <mergeCell ref="A66:I66"/>
    <mergeCell ref="A113:I113"/>
    <mergeCell ref="A115:I115"/>
    <mergeCell ref="A116:I116"/>
    <mergeCell ref="G122:G124"/>
  </mergeCells>
  <conditionalFormatting sqref="H15">
    <cfRule type="cellIs" dxfId="181" priority="15" operator="equal">
      <formula>0</formula>
    </cfRule>
  </conditionalFormatting>
  <conditionalFormatting sqref="A13 H11">
    <cfRule type="cellIs" dxfId="180" priority="14" operator="equal">
      <formula>0</formula>
    </cfRule>
  </conditionalFormatting>
  <conditionalFormatting sqref="D165:I165">
    <cfRule type="containsErrors" dxfId="179" priority="1">
      <formula>ISERROR(D165)</formula>
    </cfRule>
  </conditionalFormatting>
  <printOptions horizontalCentered="1"/>
  <pageMargins left="0.78740157480314965" right="0.59055118110236227" top="0.39370078740157483" bottom="0.31496062992125984" header="0.31496062992125984" footer="0.23622047244094491"/>
  <pageSetup paperSize="9" scale="80" fitToWidth="7" fitToHeight="7" orientation="portrait" r:id="rId1"/>
  <headerFooter alignWithMargins="0"/>
  <rowBreaks count="7" manualBreakCount="7">
    <brk id="52" max="16383" man="1"/>
    <brk id="112" max="16383" man="1"/>
    <brk id="170" max="8" man="1"/>
    <brk id="238" max="3" man="1"/>
    <brk id="298" max="3" man="1"/>
    <brk id="359" max="3" man="1"/>
    <brk id="406" max="3" man="1"/>
  </rowBreaks>
  <drawing r:id="rId2"/>
  <extLst>
    <ext xmlns:x14="http://schemas.microsoft.com/office/spreadsheetml/2009/9/main" uri="{78C0D931-6437-407d-A8EE-F0AAD7539E65}">
      <x14:conditionalFormattings>
        <x14:conditionalFormatting xmlns:xm="http://schemas.microsoft.com/office/excel/2006/main">
          <x14:cfRule type="expression" priority="13" id="{CE1B8FD7-4F61-4AF6-BC1F-115B61188688}">
            <xm:f>'Copy &amp; Paste'!$H$12&lt;1</xm:f>
            <x14:dxf>
              <font>
                <color theme="0"/>
              </font>
            </x14:dxf>
          </x14:cfRule>
          <xm:sqref>D222:D228</xm:sqref>
        </x14:conditionalFormatting>
        <x14:conditionalFormatting xmlns:xm="http://schemas.microsoft.com/office/excel/2006/main">
          <x14:cfRule type="expression" priority="12" id="{6FA155C9-3C32-4696-9661-8EE05F326289}">
            <xm:f>'Copy &amp; Paste'!$H$12&lt;1</xm:f>
            <x14:dxf>
              <font>
                <color theme="0"/>
              </font>
            </x14:dxf>
          </x14:cfRule>
          <xm:sqref>C374:D374</xm:sqref>
        </x14:conditionalFormatting>
        <x14:conditionalFormatting xmlns:xm="http://schemas.microsoft.com/office/excel/2006/main">
          <x14:cfRule type="expression" priority="11" id="{F754C7D8-6014-4964-9334-33F5235073FA}">
            <xm:f>'Copy &amp; Paste'!$H$12=""</xm:f>
            <x14:dxf>
              <font>
                <color theme="0"/>
              </font>
            </x14:dxf>
          </x14:cfRule>
          <xm:sqref>A370:J382</xm:sqref>
        </x14:conditionalFormatting>
        <x14:conditionalFormatting xmlns:xm="http://schemas.microsoft.com/office/excel/2006/main">
          <x14:cfRule type="expression" priority="8" id="{C99DBEA3-B751-4324-AC84-48BD570428BE}">
            <xm:f>'84 9 Nachweis'!$S$40</xm:f>
            <x14:dxf>
              <font>
                <color theme="0"/>
              </font>
            </x14:dxf>
          </x14:cfRule>
          <xm:sqref>A419:I421</xm:sqref>
        </x14:conditionalFormatting>
        <x14:conditionalFormatting xmlns:xm="http://schemas.microsoft.com/office/excel/2006/main">
          <x14:cfRule type="expression" priority="4" id="{A0208043-FFC8-4648-826F-1CE0DFC5B62E}">
            <xm:f>Protokoll!$D$68=0</xm:f>
            <x14:dxf>
              <font>
                <color theme="0"/>
              </font>
            </x14:dxf>
          </x14:cfRule>
          <x14:cfRule type="expression" priority="5" id="{891E3B2C-6E06-42AB-B857-2C6B0672E46A}">
            <xm:f>'84 9 Nachweis'!$S$40=0</xm:f>
            <x14:dxf>
              <font>
                <color theme="0"/>
              </font>
            </x14:dxf>
          </x14:cfRule>
          <x14:cfRule type="expression" priority="6" id="{3EB6AA87-181B-402B-A974-3B0B30C3B3B2}">
            <xm:f>'84 9 Nachweis'!$S$40=0</xm:f>
            <x14:dxf>
              <font>
                <color theme="0"/>
              </font>
            </x14:dxf>
          </x14:cfRule>
          <x14:cfRule type="expression" priority="7" id="{4EFCD5F9-238D-489D-B800-C55082D58D89}">
            <xm:f>'84 9 Nachweis'!$S$40=0</xm:f>
            <x14:dxf>
              <font>
                <color theme="0"/>
              </font>
            </x14:dxf>
          </x14:cfRule>
          <xm:sqref>A419:A421</xm:sqref>
        </x14:conditionalFormatting>
        <x14:conditionalFormatting xmlns:xm="http://schemas.microsoft.com/office/excel/2006/main">
          <x14:cfRule type="expression" priority="3" id="{4D672315-F659-4A72-A0C7-8571503F6F1D}">
            <xm:f>Ergebnis!$E$28=0</xm:f>
            <x14:dxf>
              <font>
                <color theme="0"/>
              </font>
            </x14:dxf>
          </x14:cfRule>
          <xm:sqref>A260:I268</xm:sqref>
        </x14:conditionalFormatting>
        <x14:conditionalFormatting xmlns:xm="http://schemas.microsoft.com/office/excel/2006/main">
          <x14:cfRule type="expression" priority="2" id="{1A704C0C-9082-4CD3-BA92-901DC94A1771}">
            <xm:f>AND('Personalmenge 113c'!$D$80="Richtwert § 113c SGB XI",'Personalmenge 113c'!$D$82="Richtwert § 113c SGB XI")</xm:f>
            <x14:dxf>
              <font>
                <strike val="0"/>
                <color theme="0"/>
              </font>
            </x14:dxf>
          </x14:cfRule>
          <xm:sqref>A206:I210 A205:B205 I205 A211:B214 I211:I214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CQ532"/>
  <sheetViews>
    <sheetView zoomScale="120" zoomScaleNormal="120" zoomScaleSheetLayoutView="100" workbookViewId="0"/>
  </sheetViews>
  <sheetFormatPr baseColWidth="10" defaultColWidth="11.42578125" defaultRowHeight="18" customHeight="1" outlineLevelRow="1"/>
  <cols>
    <col min="1" max="1" width="3.42578125" style="53" customWidth="1"/>
    <col min="2" max="2" width="2.42578125" style="53" customWidth="1"/>
    <col min="3" max="3" width="16.7109375" style="53" customWidth="1"/>
    <col min="4" max="4" width="11.42578125" style="53"/>
    <col min="5" max="5" width="10.5703125" style="53" customWidth="1"/>
    <col min="6" max="6" width="2.7109375" style="53" customWidth="1"/>
    <col min="7" max="7" width="11.42578125" style="53" customWidth="1"/>
    <col min="8" max="8" width="32.7109375" style="53" customWidth="1"/>
    <col min="9" max="9" width="3.42578125" style="53" customWidth="1"/>
    <col min="10" max="10" width="2.42578125" style="53" customWidth="1"/>
    <col min="11" max="11" width="16.7109375" style="53" customWidth="1"/>
    <col min="12" max="12" width="11.42578125" style="53" customWidth="1"/>
    <col min="13" max="13" width="10.140625" style="53" customWidth="1"/>
    <col min="14" max="14" width="2" style="53" customWidth="1"/>
    <col min="15" max="15" width="11.42578125" style="53" customWidth="1"/>
    <col min="16" max="16" width="32.7109375" style="53" customWidth="1"/>
    <col min="17" max="16384" width="11.42578125" style="53"/>
  </cols>
  <sheetData>
    <row r="1" spans="1:9" ht="20.25">
      <c r="A1" s="2825"/>
      <c r="B1" s="2825"/>
      <c r="C1" s="2825"/>
      <c r="D1" s="2825"/>
      <c r="E1" s="2825"/>
      <c r="F1" s="2825"/>
      <c r="G1" s="2825"/>
      <c r="H1" s="2825"/>
      <c r="I1" s="2749"/>
    </row>
    <row r="2" spans="1:9" ht="18" customHeight="1">
      <c r="A2" s="4615" t="s">
        <v>265</v>
      </c>
      <c r="B2" s="4615"/>
      <c r="C2" s="4615"/>
      <c r="D2" s="4615"/>
      <c r="E2" s="4615"/>
      <c r="F2" s="4615"/>
      <c r="G2" s="4615"/>
      <c r="H2" s="4615"/>
      <c r="I2" s="4615"/>
    </row>
    <row r="3" spans="1:9" ht="18" customHeight="1">
      <c r="A3" s="4615" t="s">
        <v>280</v>
      </c>
      <c r="B3" s="4615"/>
      <c r="C3" s="4615"/>
      <c r="D3" s="4615"/>
      <c r="E3" s="4615"/>
      <c r="F3" s="4615"/>
      <c r="G3" s="4615"/>
      <c r="H3" s="4615"/>
      <c r="I3" s="4615"/>
    </row>
    <row r="4" spans="1:9" ht="18" customHeight="1">
      <c r="A4" s="4615" t="str">
        <f>"der vollstationären Pflege "&amp;IF('Copy &amp; Paste'!H12&lt;&gt;0,"und der Kurzzeitpflege","")</f>
        <v xml:space="preserve">der vollstationären Pflege </v>
      </c>
      <c r="B4" s="4615"/>
      <c r="C4" s="4615"/>
      <c r="D4" s="4615"/>
      <c r="E4" s="4615"/>
      <c r="F4" s="4615"/>
      <c r="G4" s="4615"/>
      <c r="H4" s="4615"/>
      <c r="I4" s="4615"/>
    </row>
    <row r="5" spans="1:9" ht="8.1" customHeight="1">
      <c r="A5" s="54"/>
      <c r="B5" s="54"/>
      <c r="C5" s="54"/>
      <c r="D5" s="54"/>
      <c r="E5" s="54"/>
      <c r="F5" s="54"/>
      <c r="G5" s="55"/>
      <c r="H5" s="55"/>
      <c r="I5" s="55"/>
    </row>
    <row r="6" spans="1:9" ht="18" customHeight="1">
      <c r="A6" s="54" t="s">
        <v>103</v>
      </c>
      <c r="B6" s="54"/>
      <c r="C6" s="54"/>
      <c r="D6" s="54"/>
      <c r="E6" s="54"/>
      <c r="F6" s="54"/>
      <c r="G6" s="55"/>
      <c r="H6" s="55"/>
      <c r="I6" s="55"/>
    </row>
    <row r="7" spans="1:9" ht="8.1" customHeight="1">
      <c r="A7" s="54"/>
      <c r="B7" s="54"/>
      <c r="C7" s="54"/>
      <c r="D7" s="54"/>
      <c r="E7" s="54"/>
      <c r="F7" s="54"/>
      <c r="G7" s="55"/>
      <c r="H7" s="55"/>
      <c r="I7" s="55"/>
    </row>
    <row r="8" spans="1:9" ht="18" customHeight="1">
      <c r="A8" s="112" t="str">
        <f>CONCATENATE(Träger," ",Träger2)</f>
        <v xml:space="preserve"> </v>
      </c>
      <c r="B8" s="112"/>
      <c r="C8" s="112"/>
      <c r="D8" s="112"/>
      <c r="E8" s="112"/>
      <c r="F8" s="54"/>
      <c r="G8" s="55"/>
      <c r="H8" s="55"/>
      <c r="I8" s="55"/>
    </row>
    <row r="9" spans="1:9" ht="18" customHeight="1">
      <c r="A9" s="56" t="str">
        <f>'Seite 1'!F7</f>
        <v/>
      </c>
      <c r="B9" s="54"/>
      <c r="C9" s="54"/>
      <c r="D9" s="54"/>
      <c r="E9" s="54"/>
      <c r="F9" s="54"/>
      <c r="G9" s="55"/>
      <c r="H9" s="55"/>
      <c r="I9" s="55"/>
    </row>
    <row r="10" spans="1:9" ht="18" customHeight="1">
      <c r="A10" s="56" t="str">
        <f>CONCATENATE('Seite 1'!$F$8," ",'Seite 1'!$G$8)</f>
        <v xml:space="preserve"> </v>
      </c>
      <c r="B10" s="54"/>
      <c r="C10" s="54"/>
      <c r="D10" s="54"/>
      <c r="E10" s="54"/>
      <c r="F10" s="54"/>
      <c r="G10" s="55"/>
      <c r="H10" s="57" t="s">
        <v>15</v>
      </c>
      <c r="I10" s="55"/>
    </row>
    <row r="11" spans="1:9" ht="24" customHeight="1">
      <c r="A11" s="54" t="s">
        <v>104</v>
      </c>
      <c r="B11" s="54"/>
      <c r="C11" s="54"/>
      <c r="D11" s="54"/>
      <c r="E11" s="54"/>
      <c r="F11" s="54"/>
      <c r="G11" s="55"/>
      <c r="H11" s="535">
        <f>IK</f>
        <v>0</v>
      </c>
      <c r="I11" s="55"/>
    </row>
    <row r="12" spans="1:9" ht="14.25">
      <c r="A12" s="54"/>
      <c r="B12" s="54"/>
      <c r="C12" s="54"/>
      <c r="D12" s="54"/>
      <c r="E12" s="54"/>
      <c r="F12" s="54"/>
      <c r="G12" s="55"/>
      <c r="H12" s="55"/>
      <c r="I12" s="55"/>
    </row>
    <row r="13" spans="1:9" ht="18" customHeight="1">
      <c r="A13" s="56">
        <f>IF('Copy &amp; Paste'!B6="",'Copy &amp; Paste'!B5,CONCATENATE('Copy &amp; Paste'!B5,", - ",'Copy &amp; Paste'!B6,"- , "))</f>
        <v>0</v>
      </c>
      <c r="B13" s="54"/>
      <c r="C13" s="54"/>
      <c r="D13" s="54"/>
      <c r="E13" s="54"/>
      <c r="F13" s="54"/>
      <c r="G13" s="55"/>
      <c r="I13" s="55"/>
    </row>
    <row r="14" spans="1:9" ht="18" customHeight="1">
      <c r="A14" s="56" t="str">
        <f>'Seite 1'!C7</f>
        <v/>
      </c>
      <c r="B14" s="54"/>
      <c r="C14" s="54"/>
      <c r="D14" s="54"/>
      <c r="E14" s="54"/>
      <c r="F14" s="54"/>
      <c r="G14" s="55"/>
      <c r="H14" s="453" t="s">
        <v>1212</v>
      </c>
      <c r="I14" s="55"/>
    </row>
    <row r="15" spans="1:9" ht="18" customHeight="1">
      <c r="A15" s="56" t="str">
        <f>CONCATENATE('Seite 1'!$C$8," ",'Seite 1'!$D$8)</f>
        <v xml:space="preserve"> </v>
      </c>
      <c r="B15" s="54"/>
      <c r="C15" s="54"/>
      <c r="D15" s="54"/>
      <c r="E15" s="54"/>
      <c r="F15" s="54"/>
      <c r="G15" s="55"/>
      <c r="H15" s="452">
        <f>'Copy &amp; Paste'!B15</f>
        <v>0</v>
      </c>
      <c r="I15" s="55"/>
    </row>
    <row r="16" spans="1:9" ht="18" customHeight="1">
      <c r="A16" s="54"/>
      <c r="B16" s="54"/>
      <c r="C16" s="54"/>
      <c r="D16" s="54"/>
      <c r="E16" s="54"/>
      <c r="F16" s="54"/>
      <c r="G16" s="55"/>
      <c r="H16" s="58"/>
      <c r="I16" s="55"/>
    </row>
    <row r="17" spans="1:95" s="62" customFormat="1" ht="18" customHeight="1">
      <c r="A17" s="59" t="s">
        <v>746</v>
      </c>
      <c r="B17" s="59"/>
      <c r="C17" s="59"/>
      <c r="D17" s="59"/>
      <c r="E17" s="59"/>
      <c r="F17" s="59"/>
      <c r="G17" s="59"/>
      <c r="H17" s="60" t="s">
        <v>741</v>
      </c>
      <c r="I17" s="61"/>
    </row>
    <row r="18" spans="1:95" ht="8.1" customHeight="1">
      <c r="A18" s="54"/>
      <c r="B18" s="54"/>
      <c r="C18" s="54"/>
      <c r="D18" s="54"/>
      <c r="E18" s="54"/>
      <c r="F18" s="54"/>
      <c r="G18" s="55"/>
      <c r="H18" s="55"/>
      <c r="I18" s="55"/>
    </row>
    <row r="19" spans="1:95" ht="18" customHeight="1">
      <c r="A19" s="54" t="s">
        <v>105</v>
      </c>
      <c r="B19" s="54"/>
      <c r="C19" s="54" t="s">
        <v>743</v>
      </c>
      <c r="D19" s="54"/>
      <c r="E19" s="54"/>
      <c r="F19" s="54"/>
      <c r="G19" s="55"/>
      <c r="H19" s="55"/>
      <c r="I19" s="55"/>
    </row>
    <row r="20" spans="1:95" ht="8.1" customHeight="1">
      <c r="A20" s="54"/>
      <c r="B20" s="54"/>
      <c r="C20" s="54"/>
      <c r="D20" s="54"/>
      <c r="E20" s="54"/>
      <c r="F20" s="54"/>
      <c r="G20" s="55"/>
      <c r="H20" s="55"/>
      <c r="I20" s="55"/>
    </row>
    <row r="21" spans="1:95" s="15" customFormat="1" ht="18" customHeight="1">
      <c r="A21" s="54" t="s">
        <v>744</v>
      </c>
      <c r="B21" s="55"/>
      <c r="C21" s="56" t="s">
        <v>747</v>
      </c>
      <c r="D21" s="55"/>
      <c r="E21" s="55"/>
      <c r="F21" s="55"/>
      <c r="G21" s="55"/>
      <c r="H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row>
    <row r="22" spans="1:95" ht="18" customHeight="1">
      <c r="A22" s="54" t="s">
        <v>744</v>
      </c>
      <c r="B22" s="54"/>
      <c r="C22" s="56" t="s">
        <v>880</v>
      </c>
      <c r="D22" s="54"/>
      <c r="E22" s="54"/>
      <c r="F22" s="54"/>
      <c r="G22" s="55"/>
      <c r="H22" s="55"/>
      <c r="I22" s="55"/>
    </row>
    <row r="23" spans="1:95" ht="18" customHeight="1">
      <c r="A23" s="54" t="s">
        <v>745</v>
      </c>
      <c r="B23" s="54"/>
      <c r="C23" s="56" t="s">
        <v>350</v>
      </c>
      <c r="D23" s="54"/>
      <c r="E23" s="54"/>
      <c r="F23" s="54"/>
      <c r="G23" s="55"/>
      <c r="H23" s="55"/>
      <c r="I23" s="55"/>
    </row>
    <row r="24" spans="1:95" ht="18" customHeight="1">
      <c r="A24" s="54"/>
      <c r="B24" s="54"/>
      <c r="C24" s="54" t="s">
        <v>347</v>
      </c>
      <c r="D24" s="54"/>
      <c r="E24" s="54"/>
      <c r="F24" s="54"/>
      <c r="G24" s="55"/>
      <c r="H24" s="55"/>
      <c r="I24" s="55"/>
    </row>
    <row r="25" spans="1:95" ht="18" customHeight="1">
      <c r="A25" s="54" t="s">
        <v>744</v>
      </c>
      <c r="B25" s="54"/>
      <c r="C25" s="56" t="s">
        <v>1407</v>
      </c>
      <c r="D25" s="54"/>
      <c r="E25" s="54"/>
      <c r="F25" s="54"/>
      <c r="G25" s="55"/>
      <c r="H25" s="55"/>
      <c r="I25" s="55"/>
    </row>
    <row r="26" spans="1:95" ht="18" customHeight="1">
      <c r="A26" s="54" t="s">
        <v>744</v>
      </c>
      <c r="B26" s="54"/>
      <c r="C26" s="56" t="s">
        <v>1194</v>
      </c>
      <c r="D26" s="54"/>
      <c r="E26" s="54"/>
      <c r="F26" s="54"/>
      <c r="G26" s="55"/>
      <c r="H26" s="55"/>
      <c r="I26" s="55"/>
    </row>
    <row r="27" spans="1:95" ht="18" customHeight="1">
      <c r="A27" s="54" t="s">
        <v>744</v>
      </c>
      <c r="B27" s="54"/>
      <c r="C27" s="56" t="s">
        <v>787</v>
      </c>
      <c r="D27" s="54"/>
      <c r="E27" s="54"/>
      <c r="F27" s="54"/>
      <c r="G27" s="55"/>
      <c r="H27" s="55"/>
      <c r="I27" s="55"/>
    </row>
    <row r="28" spans="1:95" ht="18" customHeight="1">
      <c r="A28" s="54"/>
      <c r="B28" s="54"/>
      <c r="C28" s="56" t="s">
        <v>793</v>
      </c>
      <c r="D28" s="54"/>
      <c r="E28" s="54"/>
      <c r="F28" s="54"/>
      <c r="G28" s="55"/>
      <c r="H28" s="55"/>
      <c r="I28" s="55"/>
    </row>
    <row r="29" spans="1:95" ht="8.1" customHeight="1">
      <c r="A29" s="54"/>
      <c r="B29" s="54"/>
      <c r="C29" s="54"/>
      <c r="D29" s="54"/>
      <c r="E29" s="54"/>
      <c r="F29" s="54"/>
      <c r="G29" s="55"/>
      <c r="H29" s="55"/>
      <c r="I29" s="55"/>
    </row>
    <row r="30" spans="1:95" ht="18" customHeight="1">
      <c r="A30" s="54" t="s">
        <v>352</v>
      </c>
      <c r="B30" s="54"/>
      <c r="C30" s="56" t="s">
        <v>353</v>
      </c>
      <c r="D30" s="54"/>
      <c r="E30" s="54"/>
      <c r="F30" s="54"/>
      <c r="G30" s="55"/>
      <c r="H30" s="55"/>
      <c r="I30" s="55"/>
    </row>
    <row r="31" spans="1:95" ht="8.1" customHeight="1">
      <c r="A31" s="54"/>
      <c r="B31" s="54"/>
      <c r="C31" s="54"/>
      <c r="D31" s="54"/>
      <c r="E31" s="54"/>
      <c r="F31" s="54"/>
      <c r="G31" s="55"/>
      <c r="H31" s="55"/>
      <c r="I31" s="55"/>
    </row>
    <row r="32" spans="1:95" ht="18" customHeight="1">
      <c r="A32" s="54"/>
      <c r="B32" s="54"/>
      <c r="C32" s="63"/>
      <c r="D32" s="64" t="s">
        <v>788</v>
      </c>
      <c r="E32" s="54"/>
      <c r="F32" s="54"/>
      <c r="G32" s="55"/>
      <c r="H32" s="55"/>
      <c r="I32" s="55"/>
    </row>
    <row r="33" spans="1:9" ht="18" customHeight="1">
      <c r="A33" s="54"/>
      <c r="B33" s="54"/>
      <c r="C33" s="63"/>
      <c r="D33" s="64" t="s">
        <v>1068</v>
      </c>
      <c r="E33" s="54"/>
      <c r="F33" s="54"/>
      <c r="G33" s="55"/>
      <c r="H33" s="55"/>
      <c r="I33" s="55"/>
    </row>
    <row r="34" spans="1:9" ht="18" customHeight="1">
      <c r="A34" s="54"/>
      <c r="B34" s="54"/>
      <c r="C34" s="63"/>
      <c r="D34" s="64" t="s">
        <v>789</v>
      </c>
      <c r="E34" s="54"/>
      <c r="F34" s="54"/>
      <c r="G34" s="55"/>
      <c r="H34" s="55"/>
      <c r="I34" s="55"/>
    </row>
    <row r="35" spans="1:9" ht="18" customHeight="1">
      <c r="A35" s="54"/>
      <c r="B35" s="54"/>
      <c r="C35" s="63"/>
      <c r="D35" s="64" t="s">
        <v>790</v>
      </c>
      <c r="E35" s="54"/>
      <c r="F35" s="54"/>
      <c r="G35" s="55"/>
      <c r="H35" s="55"/>
      <c r="I35" s="55"/>
    </row>
    <row r="36" spans="1:9" ht="18" customHeight="1">
      <c r="A36" s="54"/>
      <c r="B36" s="54"/>
      <c r="C36" s="63"/>
      <c r="D36" s="64" t="s">
        <v>792</v>
      </c>
      <c r="E36" s="54"/>
      <c r="F36" s="54"/>
      <c r="G36" s="55"/>
      <c r="H36" s="55"/>
      <c r="I36" s="55"/>
    </row>
    <row r="37" spans="1:9" ht="18" customHeight="1">
      <c r="A37" s="54"/>
      <c r="B37" s="54"/>
      <c r="C37" s="63"/>
      <c r="D37" s="64" t="s">
        <v>791</v>
      </c>
      <c r="E37" s="54"/>
      <c r="F37" s="54"/>
      <c r="G37" s="55"/>
      <c r="H37" s="55"/>
      <c r="I37" s="55"/>
    </row>
    <row r="38" spans="1:9" ht="8.1" customHeight="1">
      <c r="A38" s="54"/>
      <c r="B38" s="54"/>
      <c r="C38" s="54"/>
      <c r="D38" s="54"/>
      <c r="E38" s="54"/>
      <c r="F38" s="54"/>
      <c r="G38" s="55"/>
      <c r="H38" s="55"/>
      <c r="I38" s="55"/>
    </row>
    <row r="39" spans="1:9" ht="18" customHeight="1">
      <c r="B39" s="54"/>
      <c r="C39" s="54" t="s">
        <v>321</v>
      </c>
      <c r="D39" s="54"/>
      <c r="E39" s="54"/>
      <c r="F39" s="54"/>
      <c r="G39" s="55"/>
      <c r="H39" s="55"/>
      <c r="I39" s="55"/>
    </row>
    <row r="40" spans="1:9" ht="8.1" customHeight="1">
      <c r="A40" s="54"/>
      <c r="B40" s="54"/>
      <c r="C40" s="54"/>
      <c r="D40" s="54"/>
      <c r="E40" s="54"/>
      <c r="F40" s="54"/>
      <c r="G40" s="55"/>
      <c r="H40" s="55"/>
      <c r="I40" s="55"/>
    </row>
    <row r="41" spans="1:9" ht="18" customHeight="1">
      <c r="B41" s="54"/>
      <c r="C41" s="56" t="s">
        <v>278</v>
      </c>
      <c r="D41" s="54"/>
      <c r="E41" s="54"/>
      <c r="F41" s="54"/>
      <c r="G41" s="55"/>
      <c r="H41" s="55"/>
      <c r="I41" s="55"/>
    </row>
    <row r="42" spans="1:9" ht="18" customHeight="1">
      <c r="B42" s="54"/>
      <c r="C42" s="65" t="s">
        <v>966</v>
      </c>
      <c r="D42" s="54"/>
      <c r="E42" s="54"/>
      <c r="F42" s="54"/>
      <c r="G42" s="55"/>
      <c r="H42" s="55"/>
      <c r="I42" s="55"/>
    </row>
    <row r="43" spans="1:9" ht="14.25">
      <c r="A43" s="54"/>
      <c r="B43" s="54"/>
      <c r="D43" s="54"/>
      <c r="E43" s="54"/>
      <c r="F43" s="54"/>
      <c r="G43" s="55"/>
      <c r="H43" s="55"/>
      <c r="I43" s="55"/>
    </row>
    <row r="44" spans="1:9" ht="14.25">
      <c r="A44" s="54"/>
      <c r="B44" s="54"/>
      <c r="C44" s="54"/>
      <c r="D44" s="54"/>
      <c r="E44" s="54"/>
      <c r="F44" s="54"/>
      <c r="G44" s="55"/>
      <c r="H44" s="55"/>
      <c r="I44" s="55"/>
    </row>
    <row r="45" spans="1:9" ht="17.25" customHeight="1">
      <c r="A45" s="54" t="s">
        <v>236</v>
      </c>
      <c r="B45" s="54"/>
      <c r="C45" s="54"/>
      <c r="D45" s="56" t="str">
        <f>"Landschaftsverband "&amp;IF(Landesteil="Westfalen-Lippe","Westfalen-Lippe","Rheinland")</f>
        <v>Landschaftsverband Rheinland</v>
      </c>
      <c r="E45" s="54"/>
      <c r="F45" s="54"/>
      <c r="G45" s="55"/>
      <c r="H45" s="55"/>
      <c r="I45" s="55"/>
    </row>
    <row r="46" spans="1:9" ht="18" customHeight="1">
      <c r="A46" s="54"/>
      <c r="B46" s="54"/>
      <c r="C46" s="54"/>
      <c r="D46" s="54" t="s">
        <v>348</v>
      </c>
      <c r="E46" s="54"/>
      <c r="F46" s="54"/>
      <c r="G46" s="55"/>
      <c r="H46" s="55"/>
      <c r="I46" s="55"/>
    </row>
    <row r="47" spans="1:9" ht="18" customHeight="1">
      <c r="A47" s="54"/>
      <c r="B47" s="54"/>
      <c r="C47" s="54"/>
      <c r="D47" s="54"/>
      <c r="E47" s="54"/>
      <c r="F47" s="54"/>
      <c r="G47" s="55"/>
      <c r="H47" s="66" t="s">
        <v>742</v>
      </c>
      <c r="I47" s="55"/>
    </row>
    <row r="48" spans="1:9" ht="18" customHeight="1">
      <c r="A48" s="54" t="s">
        <v>748</v>
      </c>
      <c r="B48" s="54"/>
      <c r="C48" s="54"/>
      <c r="D48" s="54"/>
      <c r="E48" s="54"/>
      <c r="F48" s="54"/>
      <c r="G48" s="55"/>
      <c r="H48" s="55"/>
      <c r="I48" s="55"/>
    </row>
    <row r="49" spans="1:9" ht="18" customHeight="1">
      <c r="A49" s="54"/>
      <c r="B49" s="54"/>
      <c r="C49" s="54"/>
      <c r="D49" s="54"/>
      <c r="E49" s="54"/>
      <c r="F49" s="54"/>
      <c r="G49" s="55"/>
      <c r="H49" s="55"/>
      <c r="I49" s="55"/>
    </row>
    <row r="50" spans="1:9" ht="18" customHeight="1">
      <c r="A50" s="54"/>
      <c r="B50" s="54"/>
      <c r="C50" s="54"/>
      <c r="D50" s="54"/>
      <c r="E50" s="54"/>
      <c r="F50" s="54"/>
      <c r="G50" s="55"/>
      <c r="H50" s="55"/>
      <c r="I50" s="55"/>
    </row>
    <row r="51" spans="1:9" ht="18" customHeight="1">
      <c r="A51" s="54"/>
      <c r="B51" s="54"/>
      <c r="C51" s="54"/>
      <c r="D51" s="54"/>
      <c r="E51" s="54"/>
      <c r="F51" s="54"/>
      <c r="G51" s="55"/>
      <c r="H51" s="55"/>
      <c r="I51" s="55"/>
    </row>
    <row r="52" spans="1:9" ht="18" customHeight="1">
      <c r="A52" s="54"/>
      <c r="B52" s="54"/>
      <c r="C52" s="54"/>
      <c r="D52" s="54"/>
      <c r="E52" s="54"/>
      <c r="F52" s="54"/>
      <c r="G52" s="55"/>
      <c r="H52" s="55"/>
      <c r="I52" s="55"/>
    </row>
    <row r="53" spans="1:9" ht="14.25" customHeight="1">
      <c r="A53" s="4623" t="s">
        <v>106</v>
      </c>
      <c r="B53" s="4623"/>
      <c r="C53" s="4623"/>
      <c r="D53" s="4623"/>
      <c r="E53" s="4623"/>
      <c r="F53" s="4623"/>
      <c r="G53" s="4623"/>
      <c r="H53" s="4623"/>
      <c r="I53" s="4623"/>
    </row>
    <row r="54" spans="1:9" ht="14.25" customHeight="1">
      <c r="A54" s="67"/>
      <c r="B54" s="67"/>
      <c r="C54" s="67"/>
      <c r="D54" s="67"/>
      <c r="E54" s="67"/>
      <c r="F54" s="67"/>
      <c r="G54" s="67"/>
      <c r="H54" s="67"/>
    </row>
    <row r="55" spans="1:9" ht="14.25" customHeight="1">
      <c r="A55" s="4641" t="s">
        <v>107</v>
      </c>
      <c r="B55" s="4641"/>
      <c r="C55" s="4641"/>
      <c r="D55" s="4641"/>
      <c r="E55" s="4641"/>
      <c r="F55" s="4641"/>
      <c r="G55" s="4641"/>
      <c r="H55" s="4641"/>
      <c r="I55" s="4641"/>
    </row>
    <row r="56" spans="1:9" ht="14.25" customHeight="1">
      <c r="A56" s="4641" t="s">
        <v>108</v>
      </c>
      <c r="B56" s="4641"/>
      <c r="C56" s="4641"/>
      <c r="D56" s="4641"/>
      <c r="E56" s="4641"/>
      <c r="F56" s="4641"/>
      <c r="G56" s="4641"/>
      <c r="H56" s="4641"/>
      <c r="I56" s="4641"/>
    </row>
    <row r="57" spans="1:9" ht="14.25">
      <c r="A57" s="54"/>
      <c r="B57" s="54"/>
      <c r="C57" s="54"/>
      <c r="D57" s="54"/>
      <c r="E57" s="54"/>
      <c r="F57" s="54"/>
      <c r="G57" s="54"/>
      <c r="H57" s="54"/>
    </row>
    <row r="58" spans="1:9" ht="14.25">
      <c r="A58" s="54" t="str">
        <f>"Gegenstand dieser Vereinbarung ist die Vergütung der stationären Pflegeleistungen, der "</f>
        <v xml:space="preserve">Gegenstand dieser Vereinbarung ist die Vergütung der stationären Pflegeleistungen, der </v>
      </c>
      <c r="B58" s="54"/>
      <c r="C58" s="54"/>
      <c r="D58" s="54"/>
      <c r="E58" s="54"/>
      <c r="F58" s="54"/>
      <c r="G58" s="54"/>
      <c r="H58" s="54"/>
    </row>
    <row r="59" spans="1:9" ht="14.25">
      <c r="A59" s="54" t="s">
        <v>932</v>
      </c>
      <c r="B59" s="54"/>
      <c r="C59" s="54"/>
      <c r="D59" s="54"/>
      <c r="E59" s="54"/>
      <c r="F59" s="54"/>
      <c r="G59" s="54"/>
      <c r="H59" s="54"/>
    </row>
    <row r="60" spans="1:9" ht="14.25">
      <c r="A60" s="54" t="s">
        <v>933</v>
      </c>
      <c r="B60" s="54"/>
      <c r="C60" s="54"/>
      <c r="D60" s="54"/>
      <c r="E60" s="54"/>
      <c r="F60" s="54"/>
      <c r="G60" s="54"/>
      <c r="H60" s="54"/>
    </row>
    <row r="61" spans="1:9" ht="14.25">
      <c r="A61" s="54" t="s">
        <v>934</v>
      </c>
      <c r="B61" s="54"/>
      <c r="C61" s="54"/>
      <c r="D61" s="54"/>
      <c r="E61" s="54"/>
      <c r="F61" s="54"/>
      <c r="G61" s="54"/>
      <c r="H61" s="54"/>
    </row>
    <row r="62" spans="1:9" ht="14.25">
      <c r="A62" s="54" t="s">
        <v>935</v>
      </c>
      <c r="B62" s="54"/>
      <c r="C62" s="54"/>
      <c r="D62" s="54"/>
      <c r="E62" s="54"/>
      <c r="F62" s="54"/>
      <c r="G62" s="54"/>
      <c r="H62" s="54"/>
    </row>
    <row r="63" spans="1:9" ht="14.25">
      <c r="A63" s="54"/>
      <c r="B63" s="54"/>
      <c r="C63" s="54"/>
      <c r="D63" s="54"/>
      <c r="E63" s="54"/>
      <c r="F63" s="54"/>
      <c r="G63" s="54"/>
      <c r="H63" s="54"/>
    </row>
    <row r="64" spans="1:9" ht="14.25">
      <c r="A64" s="54"/>
      <c r="B64" s="54"/>
      <c r="C64" s="54"/>
      <c r="D64" s="54"/>
      <c r="E64" s="54"/>
      <c r="F64" s="54"/>
      <c r="G64" s="54"/>
      <c r="H64" s="54"/>
    </row>
    <row r="65" spans="1:9" ht="15">
      <c r="A65" s="4641" t="s">
        <v>109</v>
      </c>
      <c r="B65" s="4641"/>
      <c r="C65" s="4641"/>
      <c r="D65" s="4641"/>
      <c r="E65" s="4641"/>
      <c r="F65" s="4641"/>
      <c r="G65" s="4641"/>
      <c r="H65" s="4641"/>
      <c r="I65" s="4641"/>
    </row>
    <row r="66" spans="1:9" ht="15">
      <c r="A66" s="4641" t="s">
        <v>281</v>
      </c>
      <c r="B66" s="4641"/>
      <c r="C66" s="4641"/>
      <c r="D66" s="4641"/>
      <c r="E66" s="4641"/>
      <c r="F66" s="4641"/>
      <c r="G66" s="4641"/>
      <c r="H66" s="4641"/>
      <c r="I66" s="4641"/>
    </row>
    <row r="67" spans="1:9" ht="14.25">
      <c r="A67" s="54"/>
      <c r="B67" s="54"/>
      <c r="C67" s="54"/>
      <c r="D67" s="54"/>
      <c r="E67" s="54"/>
      <c r="F67" s="54"/>
      <c r="G67" s="54"/>
      <c r="H67" s="54"/>
    </row>
    <row r="68" spans="1:9" ht="14.25">
      <c r="A68" s="54" t="s">
        <v>79</v>
      </c>
      <c r="B68" s="54" t="s">
        <v>282</v>
      </c>
      <c r="C68" s="54"/>
      <c r="D68" s="54"/>
      <c r="E68" s="54"/>
      <c r="F68" s="54"/>
      <c r="G68" s="54"/>
      <c r="H68" s="54"/>
    </row>
    <row r="69" spans="1:9" ht="14.25">
      <c r="A69" s="54"/>
      <c r="B69" s="54" t="s">
        <v>283</v>
      </c>
      <c r="C69" s="54"/>
      <c r="D69" s="54"/>
      <c r="E69" s="54"/>
      <c r="F69" s="54"/>
      <c r="G69" s="54"/>
      <c r="H69" s="54"/>
    </row>
    <row r="70" spans="1:9" ht="14.25">
      <c r="A70" s="54"/>
      <c r="B70" s="54" t="s">
        <v>284</v>
      </c>
      <c r="C70" s="54"/>
      <c r="D70" s="54"/>
      <c r="E70" s="54"/>
      <c r="F70" s="54"/>
      <c r="G70" s="54"/>
      <c r="H70" s="54"/>
    </row>
    <row r="71" spans="1:9" ht="14.25">
      <c r="A71" s="54"/>
      <c r="B71" s="54"/>
      <c r="C71" s="54"/>
      <c r="D71" s="54"/>
      <c r="E71" s="54"/>
      <c r="F71" s="54"/>
      <c r="G71" s="54"/>
      <c r="H71" s="54"/>
    </row>
    <row r="72" spans="1:9" ht="14.25">
      <c r="A72" s="54" t="s">
        <v>112</v>
      </c>
      <c r="B72" s="54" t="s">
        <v>285</v>
      </c>
      <c r="C72" s="54"/>
      <c r="D72" s="54"/>
      <c r="E72" s="54"/>
      <c r="F72" s="54"/>
      <c r="G72" s="54"/>
      <c r="H72" s="54"/>
    </row>
    <row r="73" spans="1:9" ht="14.25">
      <c r="A73" s="54"/>
      <c r="B73" s="54" t="s">
        <v>286</v>
      </c>
      <c r="C73" s="54"/>
      <c r="D73" s="54"/>
      <c r="E73" s="54"/>
      <c r="F73" s="54"/>
      <c r="G73" s="54"/>
      <c r="H73" s="54"/>
    </row>
    <row r="74" spans="1:9" ht="14.25">
      <c r="A74" s="54"/>
      <c r="B74" s="54" t="s">
        <v>849</v>
      </c>
      <c r="C74" s="54"/>
      <c r="D74" s="54"/>
      <c r="E74" s="54"/>
      <c r="F74" s="54"/>
      <c r="G74" s="54"/>
      <c r="H74" s="54"/>
    </row>
    <row r="75" spans="1:9" ht="14.25">
      <c r="A75" s="54"/>
      <c r="B75" s="54" t="s">
        <v>850</v>
      </c>
      <c r="C75" s="54"/>
      <c r="D75" s="54"/>
      <c r="E75" s="54"/>
      <c r="F75" s="54"/>
      <c r="G75" s="54"/>
      <c r="H75" s="54"/>
    </row>
    <row r="76" spans="1:9" ht="14.25">
      <c r="A76" s="54"/>
      <c r="B76" s="54"/>
      <c r="C76" s="54"/>
      <c r="D76" s="54"/>
      <c r="E76" s="54"/>
      <c r="F76" s="54"/>
      <c r="G76" s="54"/>
      <c r="H76" s="54"/>
    </row>
    <row r="77" spans="1:9" ht="14.25">
      <c r="A77" s="54"/>
      <c r="B77" s="54" t="s">
        <v>848</v>
      </c>
      <c r="C77" s="54"/>
      <c r="D77" s="54"/>
      <c r="E77" s="54"/>
      <c r="F77" s="54"/>
      <c r="G77" s="54"/>
      <c r="H77" s="54"/>
    </row>
    <row r="78" spans="1:9" ht="14.25">
      <c r="A78" s="54"/>
      <c r="B78" s="54" t="s">
        <v>287</v>
      </c>
      <c r="C78" s="54"/>
      <c r="D78" s="54"/>
      <c r="E78" s="54"/>
      <c r="F78" s="54"/>
      <c r="G78" s="54"/>
      <c r="H78" s="54"/>
    </row>
    <row r="79" spans="1:9" ht="14.25">
      <c r="A79" s="54"/>
      <c r="B79" s="54" t="s">
        <v>879</v>
      </c>
      <c r="C79" s="54"/>
      <c r="D79" s="54"/>
      <c r="E79" s="54"/>
      <c r="F79" s="54"/>
      <c r="G79" s="54"/>
      <c r="H79" s="54"/>
    </row>
    <row r="80" spans="1:9" ht="14.25">
      <c r="A80" s="54"/>
      <c r="B80" s="54" t="str">
        <f>"mit Pflegebedürftigen in besonderen Pflegesituationen ist zu gewährleisten."</f>
        <v>mit Pflegebedürftigen in besonderen Pflegesituationen ist zu gewährleisten.</v>
      </c>
      <c r="C80" s="54"/>
      <c r="D80" s="54"/>
      <c r="E80" s="54"/>
      <c r="F80" s="54"/>
      <c r="G80" s="54"/>
      <c r="H80" s="54"/>
    </row>
    <row r="81" spans="1:8" ht="14.25">
      <c r="A81" s="54"/>
      <c r="B81" s="54"/>
      <c r="C81" s="54"/>
      <c r="D81" s="54"/>
      <c r="E81" s="54"/>
      <c r="F81" s="54"/>
      <c r="G81" s="54"/>
      <c r="H81" s="54"/>
    </row>
    <row r="82" spans="1:8" ht="14.25">
      <c r="A82" s="54" t="s">
        <v>113</v>
      </c>
      <c r="B82" s="54" t="s">
        <v>936</v>
      </c>
      <c r="C82" s="54"/>
      <c r="D82" s="54"/>
      <c r="E82" s="54"/>
      <c r="F82" s="54"/>
      <c r="G82" s="54"/>
      <c r="H82" s="54"/>
    </row>
    <row r="83" spans="1:8" ht="14.25">
      <c r="A83" s="54"/>
      <c r="B83" s="54" t="s">
        <v>937</v>
      </c>
      <c r="C83" s="54"/>
      <c r="D83" s="54"/>
      <c r="E83" s="54"/>
      <c r="F83" s="54"/>
      <c r="G83" s="54"/>
      <c r="H83" s="54"/>
    </row>
    <row r="84" spans="1:8" ht="14.25">
      <c r="A84" s="54"/>
      <c r="B84" s="54" t="s">
        <v>938</v>
      </c>
      <c r="C84" s="54"/>
      <c r="D84" s="54"/>
      <c r="E84" s="54"/>
      <c r="F84" s="54"/>
      <c r="G84" s="54"/>
      <c r="H84" s="54"/>
    </row>
    <row r="85" spans="1:8" ht="14.25">
      <c r="A85" s="54"/>
      <c r="B85" s="54"/>
      <c r="C85" s="54"/>
      <c r="D85" s="54"/>
      <c r="E85" s="54"/>
      <c r="F85" s="54"/>
      <c r="G85" s="54"/>
      <c r="H85" s="54"/>
    </row>
    <row r="86" spans="1:8" ht="14.25">
      <c r="A86" s="54"/>
      <c r="B86" s="54" t="s">
        <v>288</v>
      </c>
      <c r="C86" s="54" t="s">
        <v>289</v>
      </c>
      <c r="D86" s="54"/>
      <c r="E86" s="54"/>
      <c r="F86" s="54"/>
      <c r="G86" s="54"/>
      <c r="H86" s="54"/>
    </row>
    <row r="87" spans="1:8" ht="14.25">
      <c r="A87" s="54"/>
      <c r="B87" s="54" t="s">
        <v>288</v>
      </c>
      <c r="C87" s="54" t="s">
        <v>290</v>
      </c>
      <c r="D87" s="54"/>
      <c r="E87" s="54"/>
      <c r="F87" s="54"/>
      <c r="G87" s="54"/>
      <c r="H87" s="54"/>
    </row>
    <row r="88" spans="1:8" ht="14.25">
      <c r="A88" s="54"/>
      <c r="B88" s="54" t="s">
        <v>288</v>
      </c>
      <c r="C88" s="54" t="s">
        <v>291</v>
      </c>
      <c r="D88" s="54"/>
      <c r="E88" s="54"/>
      <c r="F88" s="54"/>
      <c r="G88" s="54"/>
      <c r="H88" s="54"/>
    </row>
    <row r="89" spans="1:8" ht="14.25">
      <c r="A89" s="54"/>
      <c r="B89" s="54" t="s">
        <v>288</v>
      </c>
      <c r="C89" s="54" t="s">
        <v>292</v>
      </c>
      <c r="D89" s="54"/>
      <c r="E89" s="54"/>
      <c r="F89" s="54"/>
      <c r="G89" s="54"/>
      <c r="H89" s="54"/>
    </row>
    <row r="90" spans="1:8" ht="14.25">
      <c r="A90" s="54"/>
      <c r="B90" s="54" t="s">
        <v>288</v>
      </c>
      <c r="C90" s="54" t="s">
        <v>293</v>
      </c>
      <c r="D90" s="54"/>
      <c r="E90" s="54"/>
      <c r="F90" s="54"/>
      <c r="G90" s="54"/>
      <c r="H90" s="54"/>
    </row>
    <row r="91" spans="1:8" ht="14.25">
      <c r="A91" s="54"/>
      <c r="B91" s="54" t="s">
        <v>288</v>
      </c>
      <c r="C91" s="54" t="s">
        <v>294</v>
      </c>
      <c r="D91" s="54"/>
      <c r="E91" s="54"/>
      <c r="F91" s="54"/>
      <c r="G91" s="54"/>
      <c r="H91" s="54"/>
    </row>
    <row r="92" spans="1:8" ht="14.25">
      <c r="A92" s="54"/>
      <c r="B92" s="54" t="s">
        <v>288</v>
      </c>
      <c r="C92" s="54" t="s">
        <v>295</v>
      </c>
      <c r="D92" s="54"/>
      <c r="E92" s="54"/>
      <c r="F92" s="54"/>
      <c r="G92" s="54"/>
      <c r="H92" s="54"/>
    </row>
    <row r="93" spans="1:8" ht="14.25">
      <c r="A93" s="54"/>
      <c r="B93" s="54" t="s">
        <v>288</v>
      </c>
      <c r="C93" s="54" t="s">
        <v>296</v>
      </c>
      <c r="D93" s="54"/>
      <c r="E93" s="54"/>
      <c r="F93" s="54"/>
      <c r="G93" s="54"/>
      <c r="H93" s="54"/>
    </row>
    <row r="94" spans="1:8" ht="14.25">
      <c r="A94" s="54"/>
      <c r="B94" s="54" t="s">
        <v>288</v>
      </c>
      <c r="C94" s="54" t="s">
        <v>297</v>
      </c>
      <c r="D94" s="54"/>
      <c r="E94" s="54"/>
      <c r="F94" s="54"/>
      <c r="G94" s="54"/>
      <c r="H94" s="54"/>
    </row>
    <row r="95" spans="1:8" ht="14.25">
      <c r="A95" s="54"/>
      <c r="B95" s="54" t="s">
        <v>288</v>
      </c>
      <c r="C95" s="54" t="s">
        <v>298</v>
      </c>
      <c r="D95" s="54"/>
      <c r="E95" s="54"/>
      <c r="F95" s="54"/>
      <c r="G95" s="54"/>
      <c r="H95" s="54"/>
    </row>
    <row r="96" spans="1:8" ht="14.25">
      <c r="A96" s="54"/>
      <c r="B96" s="54"/>
      <c r="C96" s="54"/>
      <c r="D96" s="54"/>
      <c r="E96" s="54"/>
      <c r="F96" s="54"/>
      <c r="G96" s="54"/>
      <c r="H96" s="54"/>
    </row>
    <row r="97" spans="1:8" ht="14.25">
      <c r="A97" s="54"/>
      <c r="B97" s="69" t="s">
        <v>974</v>
      </c>
      <c r="C97" s="54"/>
      <c r="D97" s="54"/>
      <c r="E97" s="54"/>
      <c r="F97" s="54"/>
      <c r="G97" s="54"/>
      <c r="H97" s="54"/>
    </row>
    <row r="98" spans="1:8" ht="14.25">
      <c r="A98" s="54"/>
      <c r="B98" s="69" t="s">
        <v>975</v>
      </c>
      <c r="C98" s="54"/>
      <c r="D98" s="54"/>
      <c r="E98" s="54"/>
      <c r="F98" s="54"/>
      <c r="G98" s="54"/>
      <c r="H98" s="54"/>
    </row>
    <row r="99" spans="1:8" ht="14.25">
      <c r="A99" s="54"/>
      <c r="B99" s="69" t="s">
        <v>300</v>
      </c>
      <c r="C99" s="54"/>
      <c r="D99" s="54"/>
      <c r="E99" s="54"/>
      <c r="F99" s="54"/>
      <c r="G99" s="54"/>
      <c r="H99" s="54"/>
    </row>
    <row r="100" spans="1:8" ht="14.25">
      <c r="A100" s="54"/>
      <c r="B100" s="69"/>
      <c r="C100" s="54"/>
      <c r="D100" s="54"/>
      <c r="E100" s="54"/>
      <c r="F100" s="54"/>
      <c r="G100" s="54"/>
      <c r="H100" s="54"/>
    </row>
    <row r="101" spans="1:8" ht="14.25">
      <c r="A101" s="69" t="s">
        <v>279</v>
      </c>
      <c r="B101" s="69" t="s">
        <v>301</v>
      </c>
      <c r="C101" s="69"/>
      <c r="D101" s="69"/>
      <c r="E101" s="69"/>
      <c r="F101" s="69"/>
      <c r="G101" s="69"/>
      <c r="H101" s="69"/>
    </row>
    <row r="102" spans="1:8" ht="14.25">
      <c r="A102" s="69"/>
      <c r="B102" s="69"/>
      <c r="C102" s="69"/>
      <c r="D102" s="69"/>
      <c r="E102" s="69"/>
      <c r="F102" s="69"/>
      <c r="G102" s="69"/>
      <c r="H102" s="69"/>
    </row>
    <row r="103" spans="1:8" ht="14.25">
      <c r="A103" s="69"/>
      <c r="B103" s="463" t="str">
        <f>IF('Copy &amp; Paste'!D133="","",'Copy &amp; Paste'!D133)</f>
        <v>x</v>
      </c>
      <c r="C103" s="70" t="s">
        <v>303</v>
      </c>
      <c r="D103" s="69"/>
      <c r="E103" s="69"/>
      <c r="F103" s="69"/>
      <c r="G103" s="69"/>
      <c r="H103" s="69"/>
    </row>
    <row r="104" spans="1:8" ht="14.25">
      <c r="A104" s="69"/>
      <c r="B104" s="462"/>
      <c r="C104" s="70"/>
      <c r="D104" s="69"/>
      <c r="E104" s="69"/>
      <c r="F104" s="69"/>
      <c r="G104" s="69"/>
      <c r="H104" s="69"/>
    </row>
    <row r="105" spans="1:8" ht="14.25">
      <c r="A105" s="69"/>
      <c r="B105" s="463" t="str">
        <f>IF('Copy &amp; Paste'!C133="","",'Copy &amp; Paste'!C133)</f>
        <v/>
      </c>
      <c r="C105" s="70" t="s">
        <v>302</v>
      </c>
      <c r="E105" s="69"/>
      <c r="F105" s="69"/>
      <c r="G105" s="69"/>
      <c r="H105" s="69"/>
    </row>
    <row r="106" spans="1:8" ht="14.25">
      <c r="A106" s="69"/>
      <c r="B106" s="69"/>
      <c r="C106" s="70"/>
      <c r="E106" s="69"/>
      <c r="F106" s="69"/>
      <c r="G106" s="69"/>
      <c r="H106" s="69"/>
    </row>
    <row r="107" spans="1:8" ht="14.25">
      <c r="A107" s="69"/>
      <c r="B107" s="69"/>
      <c r="C107" s="70"/>
      <c r="E107" s="69"/>
      <c r="F107" s="69"/>
      <c r="G107" s="69"/>
      <c r="H107" s="69"/>
    </row>
    <row r="108" spans="1:8" ht="14.25">
      <c r="A108" s="69"/>
      <c r="B108" s="69"/>
      <c r="C108" s="70"/>
      <c r="E108" s="69"/>
      <c r="F108" s="69"/>
      <c r="G108" s="69"/>
      <c r="H108" s="69"/>
    </row>
    <row r="109" spans="1:8" ht="14.25">
      <c r="A109" s="69"/>
      <c r="B109" s="69"/>
      <c r="C109" s="70"/>
      <c r="E109" s="69"/>
      <c r="F109" s="69"/>
      <c r="G109" s="69"/>
      <c r="H109" s="69"/>
    </row>
    <row r="110" spans="1:8" ht="14.25">
      <c r="A110" s="69"/>
      <c r="B110" s="69"/>
      <c r="C110" s="70"/>
      <c r="E110" s="69"/>
      <c r="F110" s="69"/>
      <c r="G110" s="69"/>
      <c r="H110" s="69"/>
    </row>
    <row r="111" spans="1:8" ht="14.25">
      <c r="A111" s="69"/>
      <c r="B111" s="69"/>
      <c r="C111" s="70"/>
      <c r="E111" s="69"/>
      <c r="F111" s="69"/>
      <c r="G111" s="69"/>
      <c r="H111" s="69"/>
    </row>
    <row r="112" spans="1:8" ht="14.25">
      <c r="A112" s="69"/>
      <c r="B112" s="69"/>
      <c r="C112" s="70"/>
      <c r="E112" s="69"/>
      <c r="F112" s="69"/>
      <c r="G112" s="69"/>
      <c r="H112" s="69"/>
    </row>
    <row r="113" spans="1:9" ht="14.25">
      <c r="A113" s="4623" t="s">
        <v>299</v>
      </c>
      <c r="B113" s="4623"/>
      <c r="C113" s="4623"/>
      <c r="D113" s="4623"/>
      <c r="E113" s="4623"/>
      <c r="F113" s="4623"/>
      <c r="G113" s="4623"/>
      <c r="H113" s="4623"/>
      <c r="I113" s="4623"/>
    </row>
    <row r="114" spans="1:9" ht="14.25">
      <c r="A114" s="58"/>
      <c r="B114" s="71"/>
      <c r="C114" s="71"/>
      <c r="D114" s="71"/>
      <c r="E114" s="71"/>
      <c r="F114" s="71"/>
      <c r="G114" s="71"/>
      <c r="H114" s="71"/>
    </row>
    <row r="115" spans="1:9" ht="15">
      <c r="A115" s="4646" t="s">
        <v>115</v>
      </c>
      <c r="B115" s="4646"/>
      <c r="C115" s="4646"/>
      <c r="D115" s="4646"/>
      <c r="E115" s="4646"/>
      <c r="F115" s="4646"/>
      <c r="G115" s="4646"/>
      <c r="H115" s="4646"/>
      <c r="I115" s="4646"/>
    </row>
    <row r="116" spans="1:9" ht="15">
      <c r="A116" s="4646" t="s">
        <v>304</v>
      </c>
      <c r="B116" s="4646"/>
      <c r="C116" s="4646"/>
      <c r="D116" s="4646"/>
      <c r="E116" s="4646"/>
      <c r="F116" s="4646"/>
      <c r="G116" s="4646"/>
      <c r="H116" s="4646"/>
      <c r="I116" s="4646"/>
    </row>
    <row r="117" spans="1:9" ht="15">
      <c r="A117" s="4646" t="s">
        <v>305</v>
      </c>
      <c r="B117" s="4646"/>
      <c r="C117" s="4646"/>
      <c r="D117" s="4646"/>
      <c r="E117" s="4646"/>
      <c r="F117" s="4646"/>
      <c r="G117" s="4646"/>
      <c r="H117" s="4646"/>
      <c r="I117" s="4646"/>
    </row>
    <row r="118" spans="1:9" ht="14.25">
      <c r="A118" s="58"/>
      <c r="B118" s="71"/>
      <c r="C118" s="71"/>
      <c r="D118" s="71"/>
      <c r="E118" s="71"/>
      <c r="F118" s="71"/>
      <c r="G118" s="71"/>
      <c r="H118" s="71"/>
    </row>
    <row r="119" spans="1:9" ht="14.25">
      <c r="A119" s="69" t="s">
        <v>988</v>
      </c>
      <c r="B119" s="69"/>
      <c r="C119" s="69"/>
      <c r="D119" s="69"/>
      <c r="E119" s="69"/>
      <c r="F119" s="69"/>
      <c r="G119" s="69"/>
      <c r="H119" s="69"/>
    </row>
    <row r="120" spans="1:9" ht="14.25">
      <c r="A120" s="69" t="s">
        <v>989</v>
      </c>
      <c r="B120" s="69"/>
      <c r="C120" s="69"/>
      <c r="D120" s="69"/>
      <c r="E120" s="69"/>
      <c r="F120" s="69"/>
      <c r="G120" s="69"/>
      <c r="H120" s="69"/>
    </row>
    <row r="121" spans="1:9" ht="15" thickBot="1">
      <c r="A121" s="69"/>
      <c r="B121" s="69"/>
      <c r="C121" s="69"/>
      <c r="D121" s="69"/>
      <c r="E121" s="69"/>
      <c r="F121" s="69"/>
      <c r="G121" s="69"/>
      <c r="H121" s="69"/>
    </row>
    <row r="122" spans="1:9" ht="14.25">
      <c r="A122" s="69"/>
      <c r="B122" s="69"/>
      <c r="C122" s="4684" t="s">
        <v>810</v>
      </c>
      <c r="D122" s="4687" t="s">
        <v>939</v>
      </c>
      <c r="E122" s="4688"/>
      <c r="F122" s="4689"/>
      <c r="G122" s="4684" t="s">
        <v>306</v>
      </c>
      <c r="H122" s="69"/>
    </row>
    <row r="123" spans="1:9" ht="14.25">
      <c r="A123" s="69"/>
      <c r="B123" s="69"/>
      <c r="C123" s="4685"/>
      <c r="D123" s="4690"/>
      <c r="E123" s="4691"/>
      <c r="F123" s="4692"/>
      <c r="G123" s="4685"/>
      <c r="H123" s="69"/>
    </row>
    <row r="124" spans="1:9" ht="15" thickBot="1">
      <c r="A124" s="69"/>
      <c r="B124" s="69"/>
      <c r="C124" s="4686"/>
      <c r="D124" s="4693"/>
      <c r="E124" s="4694"/>
      <c r="F124" s="4695"/>
      <c r="G124" s="4686"/>
      <c r="H124" s="69"/>
    </row>
    <row r="125" spans="1:9" ht="15">
      <c r="A125" s="69"/>
      <c r="B125" s="69"/>
      <c r="C125" s="72">
        <v>1</v>
      </c>
      <c r="D125" s="4667" t="e">
        <f>Protokoll!B14</f>
        <v>#VALUE!</v>
      </c>
      <c r="E125" s="4668"/>
      <c r="F125" s="4669"/>
      <c r="G125" s="13" t="e">
        <f>Protokoll!B16</f>
        <v>#VALUE!</v>
      </c>
      <c r="H125" s="69"/>
    </row>
    <row r="126" spans="1:9" ht="15">
      <c r="A126" s="69"/>
      <c r="B126" s="69"/>
      <c r="C126" s="73">
        <v>2</v>
      </c>
      <c r="D126" s="4667" t="e">
        <f>Protokoll!C14</f>
        <v>#VALUE!</v>
      </c>
      <c r="E126" s="4668"/>
      <c r="F126" s="4669"/>
      <c r="G126" s="13" t="e">
        <f>Protokoll!C16</f>
        <v>#VALUE!</v>
      </c>
      <c r="H126" s="69"/>
    </row>
    <row r="127" spans="1:9" ht="15">
      <c r="A127" s="69"/>
      <c r="B127" s="69"/>
      <c r="C127" s="73">
        <v>3</v>
      </c>
      <c r="D127" s="4667" t="e">
        <f>Protokoll!D14</f>
        <v>#VALUE!</v>
      </c>
      <c r="E127" s="4668"/>
      <c r="F127" s="4669"/>
      <c r="G127" s="13" t="e">
        <f>Protokoll!D16</f>
        <v>#VALUE!</v>
      </c>
      <c r="H127" s="69"/>
    </row>
    <row r="128" spans="1:9" ht="15">
      <c r="A128" s="69"/>
      <c r="B128" s="69"/>
      <c r="C128" s="84">
        <v>4</v>
      </c>
      <c r="D128" s="4670" t="e">
        <f>Protokoll!E14</f>
        <v>#VALUE!</v>
      </c>
      <c r="E128" s="4671"/>
      <c r="F128" s="4672"/>
      <c r="G128" s="26" t="e">
        <f>Protokoll!E16</f>
        <v>#VALUE!</v>
      </c>
      <c r="H128" s="69"/>
    </row>
    <row r="129" spans="1:8" ht="15.75" thickBot="1">
      <c r="A129" s="69"/>
      <c r="B129" s="69"/>
      <c r="C129" s="74">
        <v>5</v>
      </c>
      <c r="D129" s="4673" t="e">
        <f>Protokoll!F14</f>
        <v>#VALUE!</v>
      </c>
      <c r="E129" s="4674"/>
      <c r="F129" s="4675"/>
      <c r="G129" s="25" t="e">
        <f>Protokoll!F16</f>
        <v>#VALUE!</v>
      </c>
      <c r="H129" s="69"/>
    </row>
    <row r="130" spans="1:8" ht="15.75" thickBot="1">
      <c r="A130" s="69"/>
      <c r="B130" s="69"/>
      <c r="C130" s="75" t="s">
        <v>32</v>
      </c>
      <c r="D130" s="4676" t="e">
        <f>SUM(D125:F129)</f>
        <v>#VALUE!</v>
      </c>
      <c r="E130" s="4677"/>
      <c r="F130" s="4677"/>
      <c r="G130" s="27" t="e">
        <f>SUM(G125:G129)</f>
        <v>#VALUE!</v>
      </c>
      <c r="H130" s="69"/>
    </row>
    <row r="131" spans="1:8" ht="14.25">
      <c r="A131" s="69"/>
      <c r="B131" s="69"/>
      <c r="C131" s="69"/>
      <c r="D131" s="69"/>
      <c r="E131" s="69"/>
      <c r="F131" s="69"/>
      <c r="G131" s="69"/>
      <c r="H131" s="69"/>
    </row>
    <row r="132" spans="1:8" ht="14.25">
      <c r="A132" s="69" t="s">
        <v>307</v>
      </c>
      <c r="B132" s="69"/>
      <c r="C132" s="69"/>
      <c r="D132" s="69"/>
      <c r="E132" s="69"/>
      <c r="F132" s="69"/>
      <c r="G132" s="69"/>
      <c r="H132" s="69"/>
    </row>
    <row r="133" spans="1:8" ht="14.25">
      <c r="A133" s="69" t="s">
        <v>308</v>
      </c>
      <c r="B133" s="69"/>
      <c r="C133" s="69"/>
      <c r="D133" s="69" t="s">
        <v>734</v>
      </c>
      <c r="E133" s="69"/>
      <c r="F133" s="69"/>
      <c r="G133" s="69"/>
      <c r="H133" s="69"/>
    </row>
    <row r="134" spans="1:8" ht="14.25">
      <c r="A134" s="69"/>
      <c r="B134" s="69"/>
      <c r="C134" s="69"/>
      <c r="D134" s="69"/>
      <c r="E134" s="69"/>
      <c r="F134" s="69"/>
      <c r="G134" s="69"/>
      <c r="H134" s="69"/>
    </row>
    <row r="135" spans="1:8" ht="15">
      <c r="A135" s="4641" t="s">
        <v>117</v>
      </c>
      <c r="B135" s="4641"/>
      <c r="C135" s="4641"/>
      <c r="D135" s="4641"/>
      <c r="E135" s="4641"/>
      <c r="F135" s="4641"/>
      <c r="G135" s="4641"/>
      <c r="H135" s="4641"/>
    </row>
    <row r="136" spans="1:8" ht="15">
      <c r="A136" s="4641" t="s">
        <v>309</v>
      </c>
      <c r="B136" s="4641"/>
      <c r="C136" s="4641"/>
      <c r="D136" s="4641"/>
      <c r="E136" s="4641"/>
      <c r="F136" s="4641"/>
      <c r="G136" s="4641"/>
      <c r="H136" s="4641"/>
    </row>
    <row r="137" spans="1:8" ht="14.25">
      <c r="A137" s="69"/>
      <c r="B137" s="69"/>
      <c r="C137" s="69"/>
      <c r="D137" s="69"/>
      <c r="E137" s="69"/>
      <c r="F137" s="69"/>
      <c r="G137" s="69"/>
      <c r="H137" s="69"/>
    </row>
    <row r="138" spans="1:8" ht="14.25">
      <c r="A138" s="76" t="s">
        <v>79</v>
      </c>
      <c r="B138" s="69" t="str">
        <f>"Von den "&amp;'Copy &amp; Paste'!$H$11&amp;" Pflegeplätzen werden vorgehalten:"</f>
        <v>Von den  Pflegeplätzen werden vorgehalten:</v>
      </c>
      <c r="C138" s="71"/>
      <c r="D138" s="71"/>
      <c r="E138" s="71"/>
      <c r="F138" s="71"/>
      <c r="G138" s="71"/>
      <c r="H138" s="71"/>
    </row>
    <row r="139" spans="1:8" ht="15">
      <c r="A139" s="68"/>
      <c r="B139" s="68"/>
      <c r="C139" s="68"/>
      <c r="D139" s="68"/>
      <c r="E139" s="68"/>
      <c r="F139" s="68"/>
      <c r="G139" s="68"/>
      <c r="H139" s="68"/>
    </row>
    <row r="140" spans="1:8" ht="15">
      <c r="A140" s="68"/>
      <c r="B140" s="69"/>
      <c r="C140" s="69" t="str">
        <f>IF('Copy &amp; Paste'!$D$128&lt;&gt;0,'Copy &amp; Paste'!D128,"")&amp;IF('Copy &amp; Paste'!$D$128&lt;&gt;0," in Einbettzimmern","")</f>
        <v/>
      </c>
      <c r="D140" s="68"/>
      <c r="E140" s="68"/>
      <c r="F140" s="68"/>
      <c r="G140" s="68"/>
      <c r="H140" s="68"/>
    </row>
    <row r="141" spans="1:8" ht="15">
      <c r="A141" s="68"/>
      <c r="B141" s="69"/>
      <c r="C141" s="69" t="str">
        <f>IF('Copy &amp; Paste'!$D$129&lt;&gt;0,'Copy &amp; Paste'!D129,"")&amp;IF('Copy &amp; Paste'!$D$129&lt;&gt;0," in Zweibettzimmern","")</f>
        <v/>
      </c>
      <c r="D141" s="68"/>
      <c r="E141" s="68"/>
      <c r="F141" s="68"/>
      <c r="G141" s="68"/>
      <c r="H141" s="68"/>
    </row>
    <row r="142" spans="1:8" ht="14.25">
      <c r="A142" s="69"/>
      <c r="B142" s="69"/>
      <c r="C142" s="69"/>
      <c r="D142" s="69"/>
      <c r="E142" s="69"/>
      <c r="F142" s="69"/>
      <c r="G142" s="69"/>
      <c r="H142" s="69"/>
    </row>
    <row r="143" spans="1:8" ht="14.25">
      <c r="A143" s="76" t="s">
        <v>112</v>
      </c>
      <c r="B143" s="69" t="s">
        <v>1007</v>
      </c>
      <c r="C143" s="69"/>
      <c r="D143" s="69"/>
      <c r="E143" s="69"/>
      <c r="F143" s="69"/>
      <c r="G143" s="69"/>
      <c r="H143" s="69"/>
    </row>
    <row r="144" spans="1:8" ht="14.25">
      <c r="A144" s="69"/>
      <c r="B144" s="69"/>
      <c r="C144" s="69"/>
      <c r="D144" s="69"/>
      <c r="E144" s="69"/>
      <c r="F144" s="69"/>
      <c r="G144" s="69"/>
      <c r="H144" s="69"/>
    </row>
    <row r="145" spans="1:8" ht="14.25">
      <c r="A145" s="69"/>
      <c r="B145" s="69" t="s">
        <v>734</v>
      </c>
      <c r="C145" s="69"/>
      <c r="D145" s="69"/>
      <c r="E145" s="69"/>
      <c r="F145" s="69"/>
      <c r="G145" s="69"/>
      <c r="H145" s="69"/>
    </row>
    <row r="146" spans="1:8" ht="14.25">
      <c r="A146" s="69"/>
      <c r="B146" s="69"/>
      <c r="C146" s="69"/>
      <c r="D146" s="69"/>
      <c r="E146" s="69"/>
      <c r="F146" s="69"/>
      <c r="G146" s="69"/>
      <c r="H146" s="69"/>
    </row>
    <row r="147" spans="1:8" ht="14.25">
      <c r="A147" s="76" t="s">
        <v>113</v>
      </c>
      <c r="B147" s="69" t="s">
        <v>320</v>
      </c>
      <c r="C147" s="69"/>
      <c r="D147" s="69"/>
      <c r="E147" s="69"/>
      <c r="F147" s="69"/>
      <c r="G147" s="69"/>
      <c r="H147" s="69"/>
    </row>
    <row r="148" spans="1:8" ht="14.25">
      <c r="A148" s="58"/>
      <c r="B148" s="71"/>
      <c r="C148" s="71"/>
      <c r="D148" s="71"/>
      <c r="E148" s="71"/>
      <c r="F148" s="71"/>
      <c r="G148" s="71"/>
      <c r="H148" s="71"/>
    </row>
    <row r="149" spans="1:8" ht="15">
      <c r="A149" s="4641" t="s">
        <v>990</v>
      </c>
      <c r="B149" s="4641"/>
      <c r="C149" s="4641"/>
      <c r="D149" s="4641"/>
      <c r="E149" s="4641"/>
      <c r="F149" s="4641"/>
      <c r="G149" s="4641"/>
      <c r="H149" s="4641"/>
    </row>
    <row r="150" spans="1:8" ht="15">
      <c r="A150" s="4641" t="s">
        <v>310</v>
      </c>
      <c r="B150" s="4641"/>
      <c r="C150" s="4641"/>
      <c r="D150" s="4641"/>
      <c r="E150" s="4641"/>
      <c r="F150" s="4641"/>
      <c r="G150" s="4641"/>
      <c r="H150" s="4641"/>
    </row>
    <row r="151" spans="1:8" ht="14.25">
      <c r="A151" s="69"/>
      <c r="B151" s="69"/>
      <c r="C151" s="69"/>
      <c r="D151" s="69"/>
      <c r="E151" s="69"/>
      <c r="F151" s="69"/>
      <c r="G151" s="69"/>
      <c r="H151" s="69"/>
    </row>
    <row r="152" spans="1:8" ht="14.25">
      <c r="A152" s="76" t="s">
        <v>79</v>
      </c>
      <c r="B152" s="69" t="s">
        <v>1000</v>
      </c>
      <c r="C152" s="69"/>
      <c r="D152" s="69"/>
      <c r="E152" s="69"/>
      <c r="F152" s="69"/>
      <c r="G152" s="69"/>
      <c r="H152" s="69"/>
    </row>
    <row r="153" spans="1:8" ht="14.25">
      <c r="A153" s="69"/>
      <c r="B153" s="69" t="e">
        <f>"Betreuungsdienst "&amp;IF('Copy &amp; Paste'!B14="nein",FIXED(Ergebnis!E25+Ergebnis!E26+Ergebnis!E27+Ergebnis!B45,2),FIXED(Pauschal!H31+Pauschal!H32+Pauschal!H33,2))&amp;" Vollzeitkräfte im Jahresdurchschnitt vor,"</f>
        <v>#DIV/0!</v>
      </c>
      <c r="C153" s="69"/>
      <c r="D153" s="69"/>
      <c r="E153" s="69"/>
      <c r="F153" s="69"/>
      <c r="G153" s="69"/>
      <c r="H153" s="69"/>
    </row>
    <row r="154" spans="1:8" ht="14.25">
      <c r="A154" s="69"/>
      <c r="B154" s="69" t="s">
        <v>942</v>
      </c>
      <c r="C154" s="69"/>
      <c r="D154" s="69"/>
      <c r="E154" s="69"/>
      <c r="F154" s="69"/>
      <c r="G154" s="69"/>
      <c r="H154" s="69"/>
    </row>
    <row r="155" spans="1:8" s="107" customFormat="1" ht="12.75"/>
    <row r="156" spans="1:8" ht="15">
      <c r="A156" s="69"/>
      <c r="B156" s="69"/>
      <c r="C156" s="100" t="e">
        <f>IF('Copy &amp; Paste'!B14="nein",FIXED(Ergebnis!E25+Protokoll!D98)&amp;" VK",FIXED(Pauschal!H31,2)&amp;" VK")</f>
        <v>#DIV/0!</v>
      </c>
      <c r="D156" s="69" t="s">
        <v>997</v>
      </c>
      <c r="E156" s="69"/>
      <c r="F156" s="69"/>
      <c r="G156" s="69"/>
      <c r="H156" s="69"/>
    </row>
    <row r="157" spans="1:8" ht="14.25">
      <c r="A157" s="69"/>
      <c r="B157" s="69"/>
      <c r="C157" s="99"/>
      <c r="D157" s="69" t="s">
        <v>1012</v>
      </c>
      <c r="E157" s="69"/>
      <c r="F157" s="69"/>
      <c r="G157" s="69"/>
      <c r="H157" s="69"/>
    </row>
    <row r="158" spans="1:8" ht="14.25">
      <c r="A158" s="69"/>
      <c r="B158" s="69"/>
      <c r="C158" s="69"/>
      <c r="D158" s="69"/>
      <c r="E158" s="69"/>
      <c r="F158" s="69"/>
      <c r="G158" s="69"/>
      <c r="H158" s="69"/>
    </row>
    <row r="159" spans="1:8" ht="15">
      <c r="A159" s="69"/>
      <c r="B159" s="69"/>
      <c r="C159" s="100" t="e">
        <f>IF('Copy &amp; Paste'!B14="nein",FIXED(Ergebnis!E26+Protokoll!E98,2)&amp;" VK",FIXED(Pauschal!H32,2)&amp;" VK")</f>
        <v>#DIV/0!</v>
      </c>
      <c r="D159" s="98" t="s">
        <v>940</v>
      </c>
      <c r="E159" s="69"/>
      <c r="F159" s="69"/>
      <c r="G159" s="69"/>
      <c r="H159" s="69"/>
    </row>
    <row r="160" spans="1:8" ht="14.25">
      <c r="A160" s="69"/>
      <c r="B160" s="69"/>
      <c r="C160" s="69"/>
      <c r="D160" s="69"/>
      <c r="E160" s="69"/>
      <c r="F160" s="69"/>
      <c r="G160" s="69"/>
      <c r="H160" s="69"/>
    </row>
    <row r="161" spans="1:9" ht="15">
      <c r="A161" s="69"/>
      <c r="B161" s="69"/>
      <c r="C161" s="100" t="str">
        <f>IF('Copy &amp; Paste'!B14="nein",FIXED(Ergebnis!E27,2)&amp;" VK",FIXED(Pauschal!H33,2)&amp;" VK")</f>
        <v>0,00 VK</v>
      </c>
      <c r="D161" s="69" t="s">
        <v>926</v>
      </c>
      <c r="E161" s="69"/>
      <c r="F161" s="69"/>
      <c r="G161" s="69"/>
      <c r="H161" s="69"/>
    </row>
    <row r="162" spans="1:9" ht="14.25">
      <c r="A162" s="69"/>
      <c r="B162" s="69"/>
      <c r="C162" s="69"/>
      <c r="D162" s="69" t="s">
        <v>927</v>
      </c>
      <c r="E162" s="69"/>
      <c r="F162" s="69"/>
      <c r="G162" s="69"/>
      <c r="H162" s="69"/>
    </row>
    <row r="163" spans="1:9" ht="14.25">
      <c r="A163" s="69"/>
      <c r="B163" s="69"/>
      <c r="C163" s="69"/>
      <c r="D163" s="69"/>
      <c r="E163" s="69"/>
      <c r="F163" s="69"/>
      <c r="G163" s="69"/>
      <c r="H163" s="69"/>
    </row>
    <row r="164" spans="1:9" ht="14.25">
      <c r="A164" s="76" t="s">
        <v>112</v>
      </c>
      <c r="B164" s="69" t="s">
        <v>311</v>
      </c>
      <c r="C164" s="69"/>
      <c r="D164" s="69"/>
      <c r="E164" s="69"/>
      <c r="F164" s="69"/>
      <c r="G164" s="69"/>
      <c r="H164" s="69"/>
    </row>
    <row r="165" spans="1:9" ht="14.25">
      <c r="A165" s="69"/>
      <c r="B165" s="69" t="str">
        <f>IF('Copy &amp; Paste'!B14="nein",FIXED(Protokoll!B99,2),FIXED(Pauschal!H34,2)&amp;" VK")&amp;" Kräfte (ABM, BFD, Praktikanten/innen, FSJ, Sonstige) zur Verfügung."</f>
        <v>0,00 Kräfte (ABM, BFD, Praktikanten/innen, FSJ, Sonstige) zur Verfügung.</v>
      </c>
      <c r="C165" s="69"/>
      <c r="D165" s="69"/>
      <c r="E165" s="69"/>
      <c r="F165" s="69"/>
      <c r="G165" s="69"/>
      <c r="H165" s="69"/>
    </row>
    <row r="166" spans="1:9" ht="14.25">
      <c r="A166" s="69"/>
      <c r="B166" s="69"/>
      <c r="C166" s="69"/>
      <c r="D166" s="69"/>
      <c r="E166" s="69"/>
      <c r="F166" s="69"/>
      <c r="G166" s="69"/>
      <c r="H166" s="69"/>
    </row>
    <row r="167" spans="1:9" ht="14.25">
      <c r="A167" s="76" t="s">
        <v>113</v>
      </c>
      <c r="B167" s="69" t="s">
        <v>928</v>
      </c>
      <c r="C167" s="69"/>
      <c r="D167" s="69"/>
      <c r="E167" s="69"/>
      <c r="F167" s="69"/>
      <c r="G167" s="69"/>
      <c r="H167" s="69"/>
    </row>
    <row r="168" spans="1:9" ht="14.25">
      <c r="A168" s="69"/>
      <c r="B168" s="69" t="s">
        <v>930</v>
      </c>
      <c r="C168" s="69"/>
      <c r="D168" s="69"/>
      <c r="E168" s="69"/>
      <c r="F168" s="69"/>
      <c r="G168" s="69"/>
      <c r="H168" s="69"/>
    </row>
    <row r="169" spans="1:9" ht="14.25">
      <c r="A169" s="69"/>
      <c r="B169" s="69"/>
      <c r="C169" s="69"/>
      <c r="D169" s="69"/>
      <c r="E169" s="69"/>
      <c r="F169" s="69"/>
      <c r="G169" s="69"/>
      <c r="H169" s="69"/>
    </row>
    <row r="170" spans="1:9" ht="14.25">
      <c r="A170" s="69"/>
      <c r="B170" s="69"/>
      <c r="C170" s="69"/>
      <c r="D170" s="69"/>
      <c r="E170" s="69"/>
      <c r="F170" s="69"/>
      <c r="G170" s="69"/>
      <c r="H170" s="69"/>
    </row>
    <row r="171" spans="1:9" ht="14.25">
      <c r="A171" s="69"/>
      <c r="B171" s="69"/>
      <c r="C171" s="69"/>
      <c r="D171" s="69"/>
      <c r="E171" s="69"/>
      <c r="F171" s="69"/>
      <c r="G171" s="69"/>
      <c r="H171" s="69"/>
    </row>
    <row r="172" spans="1:9" ht="14.25">
      <c r="A172" s="4645" t="s">
        <v>993</v>
      </c>
      <c r="B172" s="4645"/>
      <c r="C172" s="4645"/>
      <c r="D172" s="4645"/>
      <c r="E172" s="4645"/>
      <c r="F172" s="4645"/>
      <c r="G172" s="4645"/>
      <c r="H172" s="4645"/>
      <c r="I172" s="4645"/>
    </row>
    <row r="173" spans="1:9" ht="14.25">
      <c r="A173" s="621"/>
      <c r="B173" s="621"/>
      <c r="C173" s="621"/>
      <c r="D173" s="621"/>
      <c r="E173" s="621"/>
      <c r="F173" s="621"/>
      <c r="G173" s="621"/>
      <c r="H173" s="621"/>
    </row>
    <row r="174" spans="1:9" ht="14.25">
      <c r="A174" s="76" t="s">
        <v>279</v>
      </c>
      <c r="B174" s="69" t="s">
        <v>312</v>
      </c>
      <c r="C174" s="69"/>
      <c r="D174" s="69"/>
      <c r="E174" s="69"/>
      <c r="F174" s="69"/>
      <c r="G174" s="69"/>
      <c r="H174" s="69"/>
    </row>
    <row r="175" spans="1:9" ht="14.25">
      <c r="A175" s="76"/>
      <c r="B175" s="69" t="s">
        <v>991</v>
      </c>
      <c r="C175" s="69"/>
      <c r="D175" s="69"/>
      <c r="E175" s="69"/>
      <c r="F175" s="69"/>
      <c r="G175" s="69"/>
      <c r="H175" s="69"/>
    </row>
    <row r="176" spans="1:9" ht="14.25">
      <c r="A176" s="76"/>
      <c r="B176" s="69" t="str">
        <f>"Der Träger gewährleistet die angemessene Versorgung der Pflegebedürftigen."</f>
        <v>Der Träger gewährleistet die angemessene Versorgung der Pflegebedürftigen.</v>
      </c>
      <c r="C176" s="69"/>
      <c r="D176" s="69"/>
      <c r="E176" s="69"/>
      <c r="F176" s="69"/>
      <c r="G176" s="69"/>
      <c r="H176" s="69"/>
    </row>
    <row r="177" spans="1:9" s="81" customFormat="1" ht="14.25">
      <c r="A177" s="58"/>
      <c r="B177" s="71"/>
      <c r="C177" s="71"/>
      <c r="D177" s="71"/>
      <c r="E177" s="71"/>
      <c r="F177" s="71"/>
      <c r="G177" s="71"/>
      <c r="H177" s="71"/>
    </row>
    <row r="178" spans="1:9" ht="15">
      <c r="A178" s="4641" t="s">
        <v>992</v>
      </c>
      <c r="B178" s="4641"/>
      <c r="C178" s="4641"/>
      <c r="D178" s="4641"/>
      <c r="E178" s="4641"/>
      <c r="F178" s="4641"/>
      <c r="G178" s="4641"/>
      <c r="H178" s="4641"/>
      <c r="I178" s="4641"/>
    </row>
    <row r="179" spans="1:9" s="81" customFormat="1" ht="15">
      <c r="A179" s="4641" t="s">
        <v>110</v>
      </c>
      <c r="B179" s="4641"/>
      <c r="C179" s="4641"/>
      <c r="D179" s="4641"/>
      <c r="E179" s="4641"/>
      <c r="F179" s="4641"/>
      <c r="G179" s="4641"/>
      <c r="H179" s="4641"/>
      <c r="I179" s="4641"/>
    </row>
    <row r="180" spans="1:9" ht="14.25">
      <c r="A180" s="54"/>
      <c r="B180" s="54"/>
      <c r="C180" s="71"/>
      <c r="D180" s="71"/>
      <c r="E180" s="71"/>
      <c r="F180" s="71"/>
      <c r="G180" s="71"/>
      <c r="H180" s="71"/>
    </row>
    <row r="181" spans="1:9" s="81" customFormat="1" ht="14.25">
      <c r="A181" s="77" t="s">
        <v>1362</v>
      </c>
      <c r="B181" s="54" t="s">
        <v>941</v>
      </c>
      <c r="C181" s="54"/>
      <c r="D181" s="54"/>
      <c r="E181" s="54"/>
      <c r="F181" s="54"/>
      <c r="G181" s="54"/>
      <c r="H181" s="54"/>
    </row>
    <row r="182" spans="1:9" ht="14.25">
      <c r="A182" s="54"/>
      <c r="B182" s="54" t="s">
        <v>1020</v>
      </c>
      <c r="C182" s="54"/>
      <c r="D182" s="54"/>
      <c r="E182" s="54"/>
      <c r="F182" s="54"/>
      <c r="G182" s="54"/>
      <c r="H182" s="54"/>
    </row>
    <row r="183" spans="1:9" ht="14.25">
      <c r="A183" s="54"/>
      <c r="B183" s="54"/>
      <c r="C183" s="54"/>
      <c r="D183" s="54"/>
      <c r="E183" s="54"/>
      <c r="F183" s="54"/>
      <c r="G183" s="54"/>
      <c r="H183" s="54"/>
    </row>
    <row r="184" spans="1:9" ht="27.75" customHeight="1">
      <c r="A184" s="54"/>
      <c r="B184" s="54"/>
      <c r="C184" s="65" t="s">
        <v>1214</v>
      </c>
      <c r="D184" s="449" t="s">
        <v>1215</v>
      </c>
      <c r="E184" s="4642" t="s">
        <v>1216</v>
      </c>
      <c r="F184" s="4642"/>
      <c r="G184" s="54"/>
      <c r="H184" s="450" t="s">
        <v>1016</v>
      </c>
    </row>
    <row r="185" spans="1:9" ht="8.1" customHeight="1">
      <c r="A185" s="54"/>
      <c r="B185" s="54"/>
      <c r="C185" s="54"/>
      <c r="D185" s="54"/>
      <c r="E185" s="54"/>
      <c r="F185" s="54"/>
      <c r="G185" s="54"/>
      <c r="H185" s="70"/>
    </row>
    <row r="186" spans="1:9" ht="15">
      <c r="A186" s="54"/>
      <c r="C186" s="54" t="s">
        <v>811</v>
      </c>
      <c r="D186" s="451">
        <v>404000</v>
      </c>
      <c r="E186" s="113" t="e">
        <f>FIXED(Protokoll!$B$25,2)</f>
        <v>#VALUE!</v>
      </c>
      <c r="F186" s="56" t="s">
        <v>929</v>
      </c>
      <c r="H186" s="125" t="e">
        <f>FIXED(E186*30.42,2)&amp;" €"</f>
        <v>#VALUE!</v>
      </c>
    </row>
    <row r="187" spans="1:9" ht="15">
      <c r="A187" s="54"/>
      <c r="C187" s="54" t="s">
        <v>812</v>
      </c>
      <c r="D187" s="451">
        <v>404000</v>
      </c>
      <c r="E187" s="113" t="e">
        <f>FIXED(Protokoll!$C$25,2)</f>
        <v>#VALUE!</v>
      </c>
      <c r="F187" s="56" t="s">
        <v>929</v>
      </c>
      <c r="H187" s="125" t="e">
        <f>FIXED(E187*30.42,2)&amp;" €"</f>
        <v>#VALUE!</v>
      </c>
    </row>
    <row r="188" spans="1:9" ht="15">
      <c r="A188" s="54"/>
      <c r="C188" s="54" t="s">
        <v>813</v>
      </c>
      <c r="D188" s="451">
        <v>404000</v>
      </c>
      <c r="E188" s="113" t="e">
        <f>FIXED(Protokoll!$D$25,2)</f>
        <v>#VALUE!</v>
      </c>
      <c r="F188" s="56" t="s">
        <v>929</v>
      </c>
      <c r="H188" s="125" t="e">
        <f>FIXED(E188*30.42,2)&amp;" €"</f>
        <v>#VALUE!</v>
      </c>
    </row>
    <row r="189" spans="1:9" ht="15">
      <c r="A189" s="54"/>
      <c r="C189" s="54" t="s">
        <v>814</v>
      </c>
      <c r="D189" s="451">
        <v>404000</v>
      </c>
      <c r="E189" s="114" t="e">
        <f>FIXED(Protokoll!$E$25,2)</f>
        <v>#VALUE!</v>
      </c>
      <c r="F189" s="56" t="s">
        <v>929</v>
      </c>
      <c r="H189" s="126" t="e">
        <f>FIXED(E189*30.42,2)&amp;" €"</f>
        <v>#VALUE!</v>
      </c>
    </row>
    <row r="190" spans="1:9" ht="15">
      <c r="A190" s="58"/>
      <c r="B190" s="71"/>
      <c r="C190" s="54" t="s">
        <v>815</v>
      </c>
      <c r="D190" s="451">
        <v>404000</v>
      </c>
      <c r="E190" s="114" t="e">
        <f>FIXED(Protokoll!$F$25,2)</f>
        <v>#VALUE!</v>
      </c>
      <c r="F190" s="56" t="s">
        <v>931</v>
      </c>
      <c r="H190" s="126" t="e">
        <f>FIXED(E190*30.42,2)&amp;" €."</f>
        <v>#VALUE!</v>
      </c>
    </row>
    <row r="191" spans="1:9" s="105" customFormat="1" ht="14.25">
      <c r="A191" s="108"/>
      <c r="B191" s="109"/>
      <c r="C191" s="102"/>
      <c r="D191" s="102"/>
      <c r="E191" s="103"/>
      <c r="F191" s="102"/>
      <c r="G191" s="104"/>
      <c r="H191" s="101"/>
    </row>
    <row r="192" spans="1:9" ht="14.25" customHeight="1">
      <c r="A192" s="54"/>
      <c r="B192" s="54" t="s">
        <v>1017</v>
      </c>
      <c r="C192" s="79"/>
      <c r="D192" s="79"/>
      <c r="E192" s="80"/>
      <c r="F192" s="79"/>
      <c r="G192" s="28"/>
      <c r="H192" s="86"/>
    </row>
    <row r="193" spans="1:10" ht="14.25" customHeight="1">
      <c r="A193" s="54"/>
      <c r="B193" s="54" t="s">
        <v>1018</v>
      </c>
      <c r="C193" s="79"/>
      <c r="D193" s="79"/>
      <c r="E193" s="80"/>
      <c r="F193" s="79"/>
      <c r="G193" s="28"/>
      <c r="H193" s="86"/>
    </row>
    <row r="194" spans="1:10" ht="14.25" customHeight="1">
      <c r="A194" s="54"/>
      <c r="B194" s="54"/>
      <c r="C194" s="79"/>
      <c r="D194" s="79"/>
      <c r="E194" s="80"/>
      <c r="F194" s="79"/>
      <c r="G194" s="28"/>
      <c r="H194" s="86"/>
    </row>
    <row r="195" spans="1:10" ht="14.25" customHeight="1">
      <c r="A195" s="4652" t="e">
        <f>FIXED(Protokoll!C36,2)&amp;" €"</f>
        <v>#VALUE!</v>
      </c>
      <c r="B195" s="4652"/>
      <c r="C195" s="4652"/>
      <c r="D195" s="4652"/>
      <c r="E195" s="4652"/>
      <c r="F195" s="4652"/>
      <c r="G195" s="4652"/>
      <c r="H195" s="4652"/>
      <c r="I195" s="4652"/>
      <c r="J195" s="127"/>
    </row>
    <row r="196" spans="1:10" ht="14.25" customHeight="1">
      <c r="A196" s="4650" t="e">
        <f>"(nachrichtlich: durchschnittlich je Berechnungstag "&amp;FIXED(Protokoll!$C$37,2)&amp;" €, bereits in den Pflegesätzen zu Ziffer 1 enthalten)"</f>
        <v>#VALUE!</v>
      </c>
      <c r="B196" s="4650"/>
      <c r="C196" s="4650"/>
      <c r="D196" s="4650"/>
      <c r="E196" s="4650"/>
      <c r="F196" s="4650"/>
      <c r="G196" s="4650"/>
      <c r="H196" s="4650"/>
      <c r="I196" s="4650"/>
      <c r="J196" s="122"/>
    </row>
    <row r="197" spans="1:10" ht="14.25" customHeight="1">
      <c r="A197" s="54"/>
      <c r="B197" s="54"/>
      <c r="C197" s="79"/>
      <c r="D197" s="79"/>
      <c r="E197" s="80"/>
      <c r="F197" s="79"/>
      <c r="G197" s="116"/>
      <c r="H197" s="86"/>
    </row>
    <row r="198" spans="1:10" ht="14.25" customHeight="1">
      <c r="A198" s="54"/>
      <c r="B198" s="54" t="s">
        <v>1019</v>
      </c>
      <c r="C198" s="79"/>
      <c r="D198" s="79"/>
      <c r="E198" s="80"/>
      <c r="F198" s="79"/>
      <c r="G198" s="106"/>
      <c r="H198" s="86"/>
    </row>
    <row r="199" spans="1:10" ht="14.25" customHeight="1">
      <c r="A199" s="54"/>
      <c r="B199" s="54" t="s">
        <v>1427</v>
      </c>
      <c r="C199" s="79"/>
      <c r="D199" s="79"/>
      <c r="E199" s="80"/>
      <c r="F199" s="79"/>
      <c r="G199" s="106"/>
      <c r="H199" s="86"/>
    </row>
    <row r="200" spans="1:10" ht="14.25" customHeight="1">
      <c r="A200" s="54"/>
      <c r="B200" s="54" t="s">
        <v>1428</v>
      </c>
      <c r="C200" s="79"/>
      <c r="D200" s="79"/>
      <c r="E200" s="80"/>
      <c r="F200" s="79"/>
      <c r="G200" s="106"/>
      <c r="H200" s="86"/>
    </row>
    <row r="201" spans="1:10" ht="14.25" customHeight="1">
      <c r="A201" s="54"/>
      <c r="B201" s="54"/>
      <c r="C201" s="79"/>
      <c r="D201" s="79"/>
      <c r="E201" s="80"/>
      <c r="F201" s="79"/>
      <c r="G201" s="106"/>
      <c r="H201" s="86"/>
    </row>
    <row r="202" spans="1:10" ht="14.25" customHeight="1">
      <c r="A202" s="63" t="s">
        <v>1363</v>
      </c>
      <c r="B202" s="54" t="s">
        <v>1364</v>
      </c>
      <c r="C202" s="79"/>
      <c r="D202" s="79"/>
      <c r="E202" s="80"/>
      <c r="F202" s="79"/>
      <c r="G202" s="106"/>
      <c r="H202" s="86"/>
    </row>
    <row r="203" spans="1:10" ht="14.25">
      <c r="A203" s="54"/>
      <c r="B203" s="54" t="s">
        <v>1365</v>
      </c>
      <c r="C203" s="79"/>
      <c r="D203" s="79"/>
      <c r="E203" s="80"/>
      <c r="F203" s="79"/>
      <c r="G203" s="106"/>
      <c r="H203" s="86"/>
    </row>
    <row r="204" spans="1:10" ht="14.25">
      <c r="A204" s="54"/>
      <c r="B204" s="54" t="s">
        <v>1366</v>
      </c>
      <c r="C204" s="79"/>
      <c r="D204" s="79"/>
      <c r="E204" s="80"/>
      <c r="F204" s="79"/>
      <c r="G204" s="106"/>
      <c r="H204" s="86"/>
    </row>
    <row r="205" spans="1:10" ht="14.25">
      <c r="A205" s="54"/>
      <c r="B205" s="54" t="s">
        <v>1367</v>
      </c>
      <c r="C205" s="79"/>
      <c r="D205" s="79"/>
      <c r="E205" s="80"/>
      <c r="F205" s="79"/>
      <c r="G205" s="106"/>
      <c r="H205" s="86"/>
    </row>
    <row r="206" spans="1:10" ht="14.25">
      <c r="A206" s="54"/>
      <c r="B206" s="54" t="s">
        <v>1368</v>
      </c>
      <c r="C206" s="79"/>
      <c r="D206" s="79"/>
      <c r="E206" s="80"/>
      <c r="F206" s="79"/>
      <c r="G206" s="106"/>
      <c r="H206" s="86"/>
    </row>
    <row r="207" spans="1:10" ht="14.25" customHeight="1">
      <c r="A207" s="54"/>
      <c r="B207" s="54" t="s">
        <v>1369</v>
      </c>
      <c r="C207" s="79"/>
      <c r="D207" s="79"/>
      <c r="E207" s="80"/>
      <c r="F207" s="79"/>
      <c r="G207" s="595"/>
      <c r="H207" s="594"/>
    </row>
    <row r="208" spans="1:10" ht="14.25" customHeight="1">
      <c r="A208" s="54"/>
      <c r="B208" s="54"/>
      <c r="C208" s="79"/>
      <c r="D208" s="79"/>
      <c r="E208" s="80"/>
      <c r="F208" s="79"/>
      <c r="G208" s="595"/>
      <c r="H208" s="594"/>
    </row>
    <row r="209" spans="1:9" ht="14.25" customHeight="1">
      <c r="A209" s="54"/>
      <c r="B209" s="54"/>
      <c r="C209" s="79"/>
      <c r="D209" s="79"/>
      <c r="E209" s="114" t="e">
        <f>FIXED(Protokoll!$D$25,2)</f>
        <v>#VALUE!</v>
      </c>
      <c r="F209" s="98" t="s">
        <v>929</v>
      </c>
      <c r="G209" s="596" t="s">
        <v>1370</v>
      </c>
      <c r="H209" s="2750"/>
    </row>
    <row r="210" spans="1:9" ht="14.25">
      <c r="A210" s="54"/>
      <c r="B210" s="54"/>
      <c r="C210" s="79"/>
      <c r="D210" s="79"/>
      <c r="E210" s="80"/>
      <c r="F210" s="79"/>
      <c r="G210" s="595"/>
      <c r="H210" s="594"/>
    </row>
    <row r="211" spans="1:9" ht="14.25">
      <c r="A211" s="54"/>
      <c r="B211" s="54" t="s">
        <v>1371</v>
      </c>
      <c r="C211" s="79"/>
      <c r="D211" s="79"/>
      <c r="E211" s="80"/>
      <c r="F211" s="79"/>
      <c r="G211" s="106"/>
      <c r="H211" s="86"/>
    </row>
    <row r="212" spans="1:9" ht="14.25">
      <c r="A212" s="54"/>
      <c r="B212" s="54" t="s">
        <v>1372</v>
      </c>
      <c r="C212" s="79"/>
      <c r="D212" s="79"/>
      <c r="E212" s="80"/>
      <c r="F212" s="79"/>
      <c r="G212" s="106"/>
      <c r="H212" s="86"/>
    </row>
    <row r="213" spans="1:9" ht="14.25">
      <c r="A213" s="54"/>
      <c r="B213" s="54"/>
      <c r="C213" s="79"/>
      <c r="D213" s="79"/>
      <c r="E213" s="80"/>
      <c r="F213" s="79"/>
      <c r="G213" s="106"/>
      <c r="H213" s="86"/>
    </row>
    <row r="214" spans="1:9" ht="14.25">
      <c r="A214" s="63" t="s">
        <v>1408</v>
      </c>
      <c r="B214" s="54" t="s">
        <v>1412</v>
      </c>
      <c r="C214" s="79"/>
      <c r="D214" s="79"/>
      <c r="E214" s="80"/>
      <c r="F214" s="79"/>
      <c r="G214" s="106"/>
      <c r="H214" s="86"/>
    </row>
    <row r="215" spans="1:9" ht="14.25">
      <c r="A215" s="54"/>
      <c r="B215" s="54" t="s">
        <v>1413</v>
      </c>
      <c r="C215" s="79"/>
      <c r="D215" s="79"/>
      <c r="E215" s="80"/>
      <c r="F215" s="79"/>
      <c r="G215" s="106"/>
      <c r="H215" s="86"/>
    </row>
    <row r="216" spans="1:9" ht="14.25">
      <c r="A216" s="54"/>
      <c r="B216" s="54" t="s">
        <v>1414</v>
      </c>
      <c r="C216" s="79"/>
      <c r="D216" s="79"/>
      <c r="E216" s="80"/>
      <c r="F216" s="79"/>
      <c r="G216" s="106"/>
      <c r="H216" s="86"/>
    </row>
    <row r="217" spans="1:9" ht="14.25">
      <c r="A217" s="54"/>
      <c r="B217" s="54" t="s">
        <v>1416</v>
      </c>
      <c r="C217" s="79"/>
      <c r="D217" s="79"/>
      <c r="E217" s="80"/>
      <c r="F217" s="79"/>
      <c r="G217" s="106"/>
      <c r="H217" s="86"/>
    </row>
    <row r="218" spans="1:9" ht="14.25">
      <c r="A218" s="54"/>
      <c r="B218" s="54" t="s">
        <v>1415</v>
      </c>
      <c r="C218" s="79"/>
      <c r="D218" s="79"/>
      <c r="E218" s="80"/>
      <c r="F218" s="79"/>
      <c r="G218" s="106"/>
      <c r="H218" s="86"/>
    </row>
    <row r="219" spans="1:9" ht="14.25">
      <c r="A219" s="54"/>
      <c r="B219" s="54" t="s">
        <v>1411</v>
      </c>
      <c r="C219" s="79"/>
      <c r="D219" s="79"/>
      <c r="E219" s="80"/>
      <c r="F219" s="79"/>
      <c r="G219" s="106"/>
      <c r="H219" s="86"/>
    </row>
    <row r="220" spans="1:9" ht="14.25">
      <c r="A220" s="54"/>
      <c r="B220" s="54" t="s">
        <v>1417</v>
      </c>
      <c r="C220" s="79"/>
      <c r="D220" s="79"/>
      <c r="E220" s="80"/>
      <c r="F220" s="79"/>
      <c r="G220" s="106"/>
      <c r="H220" s="86"/>
    </row>
    <row r="221" spans="1:9" ht="14.25">
      <c r="A221" s="54"/>
      <c r="B221" s="54"/>
      <c r="C221" s="79"/>
      <c r="D221" s="79"/>
      <c r="E221" s="80"/>
      <c r="F221" s="79"/>
      <c r="G221" s="106"/>
      <c r="H221" s="86"/>
    </row>
    <row r="222" spans="1:9" ht="14.25">
      <c r="A222" s="54"/>
      <c r="B222" s="54"/>
      <c r="C222" s="79"/>
      <c r="D222" s="79"/>
      <c r="E222" s="80"/>
      <c r="F222" s="79"/>
      <c r="G222" s="106"/>
      <c r="H222" s="86"/>
    </row>
    <row r="223" spans="1:9" ht="14.25">
      <c r="A223" s="4645" t="s">
        <v>6</v>
      </c>
      <c r="B223" s="4645"/>
      <c r="C223" s="4645"/>
      <c r="D223" s="4645"/>
      <c r="E223" s="4645"/>
      <c r="F223" s="4645"/>
      <c r="G223" s="4645"/>
      <c r="H223" s="4645"/>
      <c r="I223" s="4645"/>
    </row>
    <row r="224" spans="1:9" ht="14.25">
      <c r="A224" s="54"/>
      <c r="B224" s="54"/>
      <c r="C224" s="79"/>
      <c r="D224" s="79"/>
      <c r="E224" s="80"/>
      <c r="F224" s="79"/>
      <c r="G224" s="106"/>
      <c r="H224" s="86"/>
    </row>
    <row r="225" spans="1:8" ht="14.25">
      <c r="A225" s="63" t="s">
        <v>1429</v>
      </c>
      <c r="B225" s="54" t="s">
        <v>1430</v>
      </c>
      <c r="C225" s="79"/>
      <c r="D225" s="79"/>
      <c r="E225" s="80"/>
      <c r="F225" s="79"/>
      <c r="G225" s="106"/>
      <c r="H225" s="86"/>
    </row>
    <row r="226" spans="1:8" ht="14.25">
      <c r="A226" s="54"/>
      <c r="B226" s="54" t="s">
        <v>1431</v>
      </c>
      <c r="C226" s="79"/>
      <c r="D226" s="79"/>
      <c r="E226" s="80"/>
      <c r="F226" s="79"/>
      <c r="G226" s="106"/>
      <c r="H226" s="86"/>
    </row>
    <row r="227" spans="1:8" ht="14.25">
      <c r="A227" s="54"/>
      <c r="B227" s="54" t="s">
        <v>1435</v>
      </c>
      <c r="C227" s="79"/>
      <c r="D227" s="79"/>
      <c r="E227" s="80"/>
      <c r="F227" s="79"/>
      <c r="G227" s="106"/>
      <c r="H227" s="86"/>
    </row>
    <row r="228" spans="1:8" ht="14.25">
      <c r="A228" s="54"/>
      <c r="B228" s="54" t="s">
        <v>1432</v>
      </c>
      <c r="C228" s="79"/>
      <c r="D228" s="79"/>
      <c r="E228" s="80"/>
      <c r="F228" s="79"/>
      <c r="G228" s="106"/>
      <c r="H228" s="86"/>
    </row>
    <row r="229" spans="1:8" ht="14.25">
      <c r="A229" s="54"/>
      <c r="B229" s="54" t="s">
        <v>1438</v>
      </c>
      <c r="C229" s="79"/>
      <c r="D229" s="79"/>
      <c r="E229" s="80"/>
      <c r="F229" s="79"/>
      <c r="G229" s="106"/>
      <c r="H229" s="86"/>
    </row>
    <row r="230" spans="1:8" ht="14.25">
      <c r="A230" s="54"/>
      <c r="B230" s="54" t="s">
        <v>1433</v>
      </c>
      <c r="C230" s="79"/>
      <c r="D230" s="79"/>
      <c r="E230" s="80"/>
      <c r="F230" s="79"/>
      <c r="G230" s="106"/>
      <c r="H230" s="86"/>
    </row>
    <row r="231" spans="1:8" ht="14.25">
      <c r="A231" s="54"/>
      <c r="B231" s="54" t="s">
        <v>1437</v>
      </c>
      <c r="C231" s="79"/>
      <c r="D231" s="79"/>
      <c r="E231" s="80"/>
      <c r="F231" s="79"/>
      <c r="G231" s="106"/>
      <c r="H231" s="86"/>
    </row>
    <row r="232" spans="1:8" ht="14.25">
      <c r="A232" s="54"/>
      <c r="B232" s="54" t="s">
        <v>1436</v>
      </c>
      <c r="C232" s="79"/>
      <c r="D232" s="79"/>
      <c r="E232" s="80"/>
      <c r="F232" s="79"/>
      <c r="G232" s="106"/>
      <c r="H232" s="86"/>
    </row>
    <row r="233" spans="1:8" ht="14.25">
      <c r="A233" s="54"/>
      <c r="B233" s="54" t="s">
        <v>1434</v>
      </c>
      <c r="C233" s="79"/>
      <c r="D233" s="79"/>
      <c r="E233" s="80"/>
      <c r="F233" s="79"/>
      <c r="G233" s="106"/>
      <c r="H233" s="86"/>
    </row>
    <row r="234" spans="1:8" ht="14.25">
      <c r="A234" s="54"/>
      <c r="B234" s="54" t="s">
        <v>1491</v>
      </c>
      <c r="C234" s="79"/>
      <c r="D234" s="79"/>
      <c r="E234" s="80"/>
      <c r="F234" s="79"/>
      <c r="G234" s="106"/>
      <c r="H234" s="86"/>
    </row>
    <row r="235" spans="1:8" ht="14.25">
      <c r="A235" s="54"/>
      <c r="B235" s="54"/>
      <c r="C235" s="79"/>
      <c r="D235" s="79"/>
      <c r="E235" s="80"/>
      <c r="F235" s="79"/>
      <c r="G235" s="106"/>
      <c r="H235" s="86"/>
    </row>
    <row r="236" spans="1:8" ht="14.25">
      <c r="A236" s="63" t="s">
        <v>1475</v>
      </c>
      <c r="B236" s="54" t="s">
        <v>1476</v>
      </c>
      <c r="C236" s="79"/>
      <c r="D236" s="79"/>
      <c r="E236" s="80"/>
      <c r="F236" s="79"/>
      <c r="G236" s="106"/>
      <c r="H236" s="86"/>
    </row>
    <row r="237" spans="1:8" ht="14.25">
      <c r="A237" s="54"/>
      <c r="B237" s="54" t="s">
        <v>1477</v>
      </c>
      <c r="C237" s="79"/>
      <c r="D237" s="79"/>
      <c r="E237" s="80"/>
      <c r="F237" s="79"/>
      <c r="G237" s="106"/>
      <c r="H237" s="86"/>
    </row>
    <row r="238" spans="1:8" ht="14.25">
      <c r="A238" s="54"/>
      <c r="B238" s="54" t="s">
        <v>1478</v>
      </c>
      <c r="C238" s="79"/>
      <c r="D238" s="79"/>
      <c r="E238" s="80"/>
      <c r="F238" s="79"/>
      <c r="G238" s="106"/>
      <c r="H238" s="86"/>
    </row>
    <row r="239" spans="1:8" ht="14.25">
      <c r="A239" s="54"/>
      <c r="B239" s="54" t="s">
        <v>1479</v>
      </c>
      <c r="C239" s="79"/>
      <c r="D239" s="79"/>
      <c r="E239" s="80"/>
      <c r="F239" s="79"/>
      <c r="G239" s="106"/>
      <c r="H239" s="86"/>
    </row>
    <row r="240" spans="1:8" ht="14.25">
      <c r="A240" s="54"/>
      <c r="B240" s="54" t="s">
        <v>1480</v>
      </c>
      <c r="C240" s="79"/>
      <c r="D240" s="79"/>
      <c r="E240" s="80"/>
      <c r="F240" s="79"/>
      <c r="G240" s="106"/>
      <c r="H240" s="86"/>
    </row>
    <row r="241" spans="1:8" ht="14.25">
      <c r="A241" s="54"/>
      <c r="B241" s="54" t="s">
        <v>1481</v>
      </c>
      <c r="C241" s="79"/>
      <c r="D241" s="79"/>
      <c r="E241" s="80"/>
      <c r="F241" s="79"/>
      <c r="G241" s="106"/>
      <c r="H241" s="86"/>
    </row>
    <row r="242" spans="1:8" ht="14.25">
      <c r="A242" s="54"/>
      <c r="B242" s="54" t="s">
        <v>1482</v>
      </c>
      <c r="C242" s="79"/>
      <c r="D242" s="79"/>
      <c r="E242" s="80"/>
      <c r="F242" s="79"/>
      <c r="G242" s="106"/>
      <c r="H242" s="86"/>
    </row>
    <row r="243" spans="1:8" ht="14.25">
      <c r="A243" s="54"/>
      <c r="B243" s="54" t="s">
        <v>1483</v>
      </c>
      <c r="C243" s="79"/>
      <c r="D243" s="79"/>
      <c r="E243" s="80"/>
      <c r="F243" s="79"/>
      <c r="G243" s="106"/>
      <c r="H243" s="86"/>
    </row>
    <row r="244" spans="1:8" ht="14.25">
      <c r="A244" s="54"/>
      <c r="B244" s="54" t="s">
        <v>1484</v>
      </c>
      <c r="C244" s="79"/>
      <c r="D244" s="79"/>
      <c r="E244" s="80"/>
      <c r="F244" s="79"/>
      <c r="G244" s="106"/>
      <c r="H244" s="86"/>
    </row>
    <row r="245" spans="1:8" ht="14.25">
      <c r="A245" s="54"/>
      <c r="B245" s="54"/>
      <c r="C245" s="79"/>
      <c r="D245" s="79"/>
      <c r="E245" s="80"/>
      <c r="F245" s="79"/>
      <c r="G245" s="106"/>
      <c r="H245" s="86"/>
    </row>
    <row r="246" spans="1:8" ht="14.25">
      <c r="A246" s="63" t="s">
        <v>112</v>
      </c>
      <c r="B246" s="54" t="s">
        <v>1021</v>
      </c>
      <c r="C246" s="79"/>
      <c r="D246" s="79"/>
      <c r="E246" s="80"/>
      <c r="F246" s="79"/>
      <c r="G246" s="28"/>
      <c r="H246" s="87"/>
    </row>
    <row r="247" spans="1:8" ht="14.25">
      <c r="A247" s="63"/>
      <c r="B247" s="54"/>
      <c r="C247" s="79"/>
      <c r="D247" s="79"/>
      <c r="E247" s="80"/>
      <c r="F247" s="79"/>
      <c r="G247" s="28"/>
      <c r="H247" s="87"/>
    </row>
    <row r="248" spans="1:8" ht="14.25">
      <c r="A248" s="63"/>
      <c r="B248" s="54"/>
      <c r="C248" s="79"/>
      <c r="D248" s="79"/>
      <c r="E248" s="128" t="s">
        <v>1015</v>
      </c>
      <c r="F248" s="79"/>
      <c r="G248" s="28"/>
      <c r="H248" s="129" t="s">
        <v>1016</v>
      </c>
    </row>
    <row r="249" spans="1:8" ht="14.25">
      <c r="A249" s="54"/>
      <c r="C249" s="54"/>
      <c r="D249" s="54"/>
      <c r="F249" s="54"/>
      <c r="G249" s="9"/>
      <c r="H249" s="54"/>
    </row>
    <row r="250" spans="1:8" ht="15">
      <c r="A250" s="54"/>
      <c r="C250" s="54" t="s">
        <v>238</v>
      </c>
      <c r="D250" s="82"/>
      <c r="E250" s="114" t="e">
        <f>FIXED(Protokoll!$B$26,2)</f>
        <v>#VALUE!</v>
      </c>
      <c r="F250" s="56" t="s">
        <v>929</v>
      </c>
      <c r="G250" s="113"/>
      <c r="H250" s="126" t="e">
        <f>FIXED(E250*30.42,2)&amp;" €"</f>
        <v>#VALUE!</v>
      </c>
    </row>
    <row r="251" spans="1:8" ht="15">
      <c r="A251" s="54"/>
      <c r="B251" s="82"/>
      <c r="C251" s="54" t="s">
        <v>239</v>
      </c>
      <c r="D251" s="82"/>
      <c r="E251" s="113" t="e">
        <f>FIXED(Protokoll!$B$27,2)</f>
        <v>#VALUE!</v>
      </c>
      <c r="F251" s="56" t="s">
        <v>931</v>
      </c>
      <c r="G251" s="115"/>
      <c r="H251" s="125" t="e">
        <f>FIXED(E251*30.42,2)&amp;" €."</f>
        <v>#VALUE!</v>
      </c>
    </row>
    <row r="252" spans="1:8" ht="14.25">
      <c r="A252" s="58"/>
      <c r="B252" s="71"/>
      <c r="C252" s="54"/>
      <c r="D252" s="54"/>
      <c r="F252" s="54"/>
      <c r="G252" s="9"/>
      <c r="H252" s="54"/>
    </row>
    <row r="253" spans="1:8" ht="14.25">
      <c r="A253" s="54"/>
      <c r="B253" s="82" t="s">
        <v>313</v>
      </c>
      <c r="C253" s="54"/>
      <c r="D253" s="54"/>
      <c r="F253" s="54"/>
      <c r="G253" s="9"/>
      <c r="H253" s="54"/>
    </row>
    <row r="254" spans="1:8" ht="14.25">
      <c r="A254" s="54"/>
      <c r="B254" s="82" t="s">
        <v>314</v>
      </c>
      <c r="C254" s="54"/>
      <c r="D254" s="54"/>
      <c r="F254" s="54"/>
      <c r="G254" s="9"/>
      <c r="H254" s="54"/>
    </row>
    <row r="255" spans="1:8" ht="14.25">
      <c r="A255" s="54"/>
      <c r="B255" s="82" t="s">
        <v>315</v>
      </c>
      <c r="C255" s="54"/>
      <c r="D255" s="54"/>
      <c r="F255" s="54"/>
      <c r="G255" s="9"/>
      <c r="H255" s="54"/>
    </row>
    <row r="256" spans="1:8" ht="14.25">
      <c r="A256" s="54"/>
      <c r="B256" s="82" t="s">
        <v>316</v>
      </c>
      <c r="C256" s="71"/>
      <c r="D256" s="71"/>
      <c r="E256" s="71"/>
      <c r="F256" s="71"/>
      <c r="G256" s="71"/>
      <c r="H256" s="71"/>
    </row>
    <row r="257" spans="1:16" ht="14.25">
      <c r="A257" s="54"/>
      <c r="B257" s="82"/>
      <c r="C257" s="123"/>
      <c r="D257" s="123"/>
      <c r="E257" s="123"/>
      <c r="F257" s="123"/>
      <c r="G257" s="123"/>
      <c r="H257" s="123"/>
    </row>
    <row r="258" spans="1:16" ht="14.25">
      <c r="A258" s="63" t="s">
        <v>113</v>
      </c>
      <c r="B258" s="82" t="s">
        <v>1424</v>
      </c>
      <c r="C258" s="123"/>
      <c r="D258" s="123"/>
      <c r="E258" s="123"/>
      <c r="F258" s="123"/>
      <c r="G258" s="123"/>
      <c r="H258" s="123"/>
    </row>
    <row r="259" spans="1:16" ht="14.25">
      <c r="A259" s="54"/>
      <c r="B259" s="82" t="s">
        <v>1418</v>
      </c>
      <c r="C259" s="123"/>
      <c r="D259" s="123"/>
      <c r="E259" s="123"/>
      <c r="F259" s="123"/>
      <c r="G259" s="123"/>
      <c r="H259" s="123"/>
    </row>
    <row r="260" spans="1:16" ht="14.25">
      <c r="A260" s="54"/>
      <c r="B260" s="82" t="s">
        <v>1419</v>
      </c>
      <c r="C260" s="123"/>
      <c r="D260" s="123"/>
      <c r="E260" s="123"/>
      <c r="F260" s="123"/>
      <c r="G260" s="123"/>
      <c r="H260" s="123"/>
    </row>
    <row r="261" spans="1:16" ht="14.25">
      <c r="A261" s="54"/>
      <c r="B261" s="82" t="s">
        <v>1420</v>
      </c>
      <c r="C261" s="123"/>
      <c r="D261" s="123"/>
      <c r="E261" s="123"/>
      <c r="F261" s="123"/>
      <c r="G261" s="123"/>
      <c r="H261" s="123"/>
    </row>
    <row r="262" spans="1:16" ht="14.25">
      <c r="A262" s="54"/>
      <c r="B262" s="82" t="s">
        <v>1421</v>
      </c>
      <c r="C262" s="123"/>
      <c r="D262" s="123"/>
      <c r="E262" s="123"/>
      <c r="F262" s="123"/>
      <c r="G262" s="123"/>
      <c r="H262" s="123"/>
    </row>
    <row r="263" spans="1:16" ht="14.25" customHeight="1">
      <c r="A263" s="54"/>
      <c r="B263" s="82" t="s">
        <v>1423</v>
      </c>
      <c r="C263" s="123"/>
      <c r="D263" s="123"/>
      <c r="E263" s="123"/>
      <c r="F263" s="123"/>
      <c r="G263" s="123"/>
      <c r="H263" s="123"/>
      <c r="I263" s="54"/>
      <c r="J263" s="54"/>
      <c r="K263" s="54"/>
      <c r="L263" s="54"/>
      <c r="M263" s="54"/>
      <c r="N263" s="54"/>
      <c r="O263" s="54"/>
      <c r="P263" s="54"/>
    </row>
    <row r="264" spans="1:16" ht="14.25" customHeight="1">
      <c r="A264" s="54"/>
      <c r="B264" s="82" t="s">
        <v>1422</v>
      </c>
      <c r="C264" s="123"/>
      <c r="D264" s="123"/>
      <c r="E264" s="123"/>
      <c r="F264" s="123"/>
      <c r="G264" s="123"/>
      <c r="H264" s="123"/>
      <c r="I264" s="56"/>
      <c r="J264" s="54"/>
      <c r="K264" s="54"/>
      <c r="L264" s="54"/>
      <c r="M264" s="54"/>
      <c r="N264" s="54"/>
      <c r="O264" s="54"/>
      <c r="P264" s="54"/>
    </row>
    <row r="265" spans="1:16" ht="14.25" customHeight="1">
      <c r="A265" s="54"/>
      <c r="B265" s="82"/>
      <c r="C265" s="460"/>
      <c r="D265" s="460"/>
      <c r="E265" s="460"/>
      <c r="F265" s="460"/>
      <c r="G265" s="460"/>
      <c r="H265" s="460"/>
      <c r="I265" s="54"/>
      <c r="J265" s="54"/>
      <c r="K265" s="54"/>
      <c r="L265" s="54"/>
      <c r="M265" s="54"/>
      <c r="N265" s="54"/>
      <c r="O265" s="54"/>
      <c r="P265" s="54"/>
    </row>
    <row r="266" spans="1:16" ht="14.25">
      <c r="A266" s="54"/>
      <c r="B266" s="82" t="s">
        <v>1027</v>
      </c>
      <c r="C266" s="123"/>
      <c r="D266" s="123"/>
      <c r="E266" s="123"/>
      <c r="F266" s="123"/>
      <c r="G266" s="123"/>
      <c r="H266" s="123"/>
      <c r="I266" s="54"/>
      <c r="J266" s="54"/>
      <c r="K266" s="54"/>
      <c r="L266" s="54"/>
      <c r="M266" s="54"/>
      <c r="N266" s="54"/>
      <c r="O266" s="54"/>
      <c r="P266" s="54"/>
    </row>
    <row r="267" spans="1:16" ht="14.25">
      <c r="A267" s="54"/>
      <c r="B267" s="82" t="s">
        <v>1022</v>
      </c>
      <c r="C267" s="123"/>
      <c r="D267" s="123"/>
      <c r="E267" s="123"/>
      <c r="F267" s="123"/>
      <c r="G267" s="123"/>
      <c r="H267" s="123"/>
      <c r="I267" s="54"/>
      <c r="J267" s="54"/>
      <c r="K267" s="54"/>
      <c r="L267" s="54"/>
      <c r="M267" s="54"/>
      <c r="N267" s="54"/>
      <c r="O267" s="54"/>
      <c r="P267" s="54"/>
    </row>
    <row r="268" spans="1:16" ht="14.25" customHeight="1">
      <c r="A268" s="54"/>
      <c r="B268" s="82" t="s">
        <v>1023</v>
      </c>
      <c r="C268" s="123"/>
      <c r="D268" s="123"/>
      <c r="E268" s="123"/>
      <c r="F268" s="123"/>
      <c r="G268" s="123"/>
      <c r="H268" s="123"/>
      <c r="I268" s="54"/>
      <c r="J268" s="54"/>
      <c r="K268" s="54"/>
      <c r="L268" s="54"/>
      <c r="M268" s="54"/>
      <c r="N268" s="54"/>
      <c r="O268" s="54"/>
      <c r="P268" s="54"/>
    </row>
    <row r="269" spans="1:16" ht="14.25" customHeight="1">
      <c r="A269" s="54"/>
      <c r="B269" s="82" t="s">
        <v>1025</v>
      </c>
      <c r="C269" s="123"/>
      <c r="D269" s="123"/>
      <c r="E269" s="123"/>
      <c r="F269" s="123"/>
      <c r="G269" s="123"/>
      <c r="H269" s="123"/>
      <c r="I269" s="54"/>
      <c r="J269" s="54"/>
      <c r="K269" s="54"/>
      <c r="L269" s="54"/>
      <c r="M269" s="54"/>
      <c r="N269" s="54"/>
      <c r="O269" s="54"/>
      <c r="P269" s="54"/>
    </row>
    <row r="270" spans="1:16" ht="14.25" customHeight="1">
      <c r="A270" s="54"/>
      <c r="B270" s="82" t="s">
        <v>1026</v>
      </c>
      <c r="C270" s="123"/>
      <c r="D270" s="123"/>
      <c r="E270" s="123"/>
      <c r="F270" s="123"/>
      <c r="G270" s="123"/>
      <c r="H270" s="123"/>
      <c r="I270" s="54"/>
      <c r="J270" s="54"/>
      <c r="K270" s="54"/>
      <c r="L270" s="54"/>
      <c r="M270" s="54"/>
      <c r="N270" s="54"/>
      <c r="O270" s="54"/>
      <c r="P270" s="54"/>
    </row>
    <row r="271" spans="1:16" ht="14.25" customHeight="1">
      <c r="A271" s="54" t="s">
        <v>111</v>
      </c>
      <c r="B271" s="54"/>
      <c r="C271" s="82"/>
      <c r="D271" s="54"/>
      <c r="E271" s="8"/>
      <c r="F271" s="54"/>
      <c r="G271" s="83"/>
      <c r="H271" s="54"/>
      <c r="I271" s="54"/>
      <c r="J271" s="54"/>
      <c r="K271" s="54"/>
      <c r="L271" s="54"/>
      <c r="M271" s="54"/>
      <c r="N271" s="54"/>
      <c r="O271" s="54"/>
      <c r="P271" s="54"/>
    </row>
    <row r="272" spans="1:16" ht="14.25" customHeight="1">
      <c r="A272" s="63" t="s">
        <v>279</v>
      </c>
      <c r="B272" s="54" t="s">
        <v>114</v>
      </c>
      <c r="C272" s="82"/>
      <c r="D272" s="54"/>
      <c r="E272" s="8"/>
      <c r="F272" s="54"/>
      <c r="G272" s="83"/>
      <c r="H272" s="54"/>
      <c r="I272" s="54"/>
      <c r="J272" s="54"/>
      <c r="K272" s="54"/>
      <c r="L272" s="54"/>
      <c r="M272" s="54"/>
      <c r="N272" s="54"/>
      <c r="O272" s="54"/>
      <c r="P272" s="54"/>
    </row>
    <row r="273" spans="1:16" ht="14.25" customHeight="1">
      <c r="A273" s="54"/>
      <c r="B273" s="54" t="s">
        <v>998</v>
      </c>
      <c r="C273" s="82"/>
      <c r="D273" s="54"/>
      <c r="E273" s="8"/>
      <c r="F273" s="54"/>
      <c r="G273" s="83"/>
      <c r="H273" s="54"/>
      <c r="I273" s="54"/>
      <c r="J273" s="54"/>
      <c r="K273" s="54"/>
      <c r="L273" s="54"/>
      <c r="M273" s="54"/>
      <c r="N273" s="54"/>
      <c r="O273" s="54"/>
      <c r="P273" s="54"/>
    </row>
    <row r="274" spans="1:16" ht="14.25" customHeight="1">
      <c r="A274" s="54"/>
      <c r="B274" s="54" t="s">
        <v>219</v>
      </c>
      <c r="C274" s="71"/>
      <c r="D274" s="71"/>
      <c r="E274" s="71"/>
      <c r="F274" s="71"/>
      <c r="G274" s="71"/>
      <c r="H274" s="71"/>
      <c r="I274" s="54"/>
      <c r="J274" s="54"/>
      <c r="K274" s="54"/>
      <c r="L274" s="54"/>
      <c r="M274" s="54"/>
      <c r="N274" s="54"/>
      <c r="O274" s="54"/>
      <c r="P274" s="54"/>
    </row>
    <row r="275" spans="1:16" ht="14.25" customHeight="1">
      <c r="A275" s="54"/>
      <c r="B275" s="54" t="s">
        <v>220</v>
      </c>
      <c r="C275" s="82"/>
      <c r="D275" s="54"/>
      <c r="E275" s="8"/>
      <c r="F275" s="54"/>
      <c r="G275" s="83"/>
      <c r="H275" s="54"/>
      <c r="I275" s="54"/>
      <c r="J275" s="54"/>
      <c r="K275" s="54"/>
      <c r="L275" s="54"/>
      <c r="M275" s="54"/>
      <c r="N275" s="54"/>
      <c r="O275" s="54"/>
      <c r="P275" s="54"/>
    </row>
    <row r="276" spans="1:16" ht="14.25" customHeight="1">
      <c r="A276" s="54"/>
      <c r="B276" s="54"/>
      <c r="C276" s="82"/>
      <c r="D276" s="54"/>
      <c r="E276" s="8"/>
      <c r="F276" s="54"/>
      <c r="G276" s="83"/>
      <c r="H276" s="54"/>
      <c r="I276" s="54"/>
      <c r="J276" s="54"/>
      <c r="K276" s="54"/>
      <c r="L276" s="54"/>
      <c r="M276" s="54"/>
      <c r="N276" s="54"/>
      <c r="O276" s="54"/>
      <c r="P276" s="54"/>
    </row>
    <row r="277" spans="1:16" ht="14.25" customHeight="1">
      <c r="A277" s="4645" t="s">
        <v>7</v>
      </c>
      <c r="B277" s="4645"/>
      <c r="C277" s="4645"/>
      <c r="D277" s="4645"/>
      <c r="E277" s="4645"/>
      <c r="F277" s="4645"/>
      <c r="G277" s="4645"/>
      <c r="H277" s="4645"/>
      <c r="I277" s="4645"/>
      <c r="J277" s="54"/>
      <c r="K277" s="54"/>
      <c r="L277" s="54"/>
      <c r="M277" s="54"/>
      <c r="N277" s="54"/>
      <c r="O277" s="54"/>
      <c r="P277" s="54"/>
    </row>
    <row r="278" spans="1:16" ht="14.25" customHeight="1">
      <c r="A278" s="54"/>
      <c r="B278" s="54"/>
      <c r="C278" s="82"/>
      <c r="D278" s="54"/>
      <c r="E278" s="8"/>
      <c r="F278" s="54"/>
      <c r="G278" s="83"/>
      <c r="H278" s="54"/>
      <c r="I278" s="54"/>
      <c r="J278" s="54"/>
      <c r="K278" s="54"/>
      <c r="L278" s="54"/>
      <c r="M278" s="54"/>
      <c r="N278" s="54"/>
      <c r="O278" s="54"/>
      <c r="P278" s="54"/>
    </row>
    <row r="279" spans="1:16" ht="14.25" customHeight="1">
      <c r="A279" s="4646" t="s">
        <v>318</v>
      </c>
      <c r="B279" s="4646"/>
      <c r="C279" s="4646"/>
      <c r="D279" s="4646"/>
      <c r="E279" s="4646"/>
      <c r="F279" s="4646"/>
      <c r="G279" s="4646"/>
      <c r="H279" s="4646"/>
      <c r="I279" s="4646"/>
      <c r="J279" s="54"/>
      <c r="K279" s="54"/>
      <c r="L279" s="54"/>
      <c r="M279" s="54"/>
      <c r="N279" s="54"/>
      <c r="O279" s="54"/>
      <c r="P279" s="54"/>
    </row>
    <row r="280" spans="1:16" ht="14.25" customHeight="1">
      <c r="A280" s="4646" t="s">
        <v>943</v>
      </c>
      <c r="B280" s="4646"/>
      <c r="C280" s="4646"/>
      <c r="D280" s="4646"/>
      <c r="E280" s="4646"/>
      <c r="F280" s="4646"/>
      <c r="G280" s="4646"/>
      <c r="H280" s="4646"/>
      <c r="I280" s="4646"/>
      <c r="J280" s="54"/>
      <c r="K280" s="54"/>
      <c r="L280" s="54"/>
      <c r="M280" s="54"/>
      <c r="N280" s="54"/>
      <c r="O280" s="54"/>
      <c r="P280" s="54"/>
    </row>
    <row r="281" spans="1:16" ht="14.25" customHeight="1">
      <c r="A281" s="58"/>
      <c r="B281" s="71"/>
      <c r="C281" s="71"/>
      <c r="D281" s="71"/>
      <c r="E281" s="71"/>
      <c r="F281" s="71"/>
      <c r="G281" s="71"/>
      <c r="H281" s="71"/>
      <c r="I281" s="54"/>
      <c r="J281" s="54"/>
      <c r="K281" s="54"/>
      <c r="L281" s="54"/>
      <c r="M281" s="54"/>
      <c r="N281" s="54"/>
      <c r="O281" s="54"/>
      <c r="P281" s="54"/>
    </row>
    <row r="282" spans="1:16" ht="14.25" customHeight="1">
      <c r="A282" s="58" t="s">
        <v>79</v>
      </c>
      <c r="B282" s="69" t="s">
        <v>944</v>
      </c>
      <c r="C282" s="71"/>
      <c r="D282" s="71"/>
      <c r="E282" s="71"/>
      <c r="F282" s="71"/>
      <c r="G282" s="71"/>
      <c r="H282" s="71"/>
      <c r="I282" s="54"/>
      <c r="J282" s="54"/>
      <c r="K282" s="54"/>
      <c r="L282" s="54"/>
      <c r="M282" s="54"/>
      <c r="N282" s="54"/>
      <c r="O282" s="54"/>
      <c r="P282" s="54"/>
    </row>
    <row r="283" spans="1:16" ht="14.25" customHeight="1">
      <c r="A283" s="58"/>
      <c r="B283" s="69" t="s">
        <v>945</v>
      </c>
      <c r="C283" s="71"/>
      <c r="D283" s="71"/>
      <c r="E283" s="71"/>
      <c r="F283" s="71"/>
      <c r="G283" s="71"/>
      <c r="H283" s="71"/>
      <c r="I283" s="54"/>
      <c r="J283" s="54"/>
      <c r="K283" s="54"/>
      <c r="L283" s="54"/>
      <c r="M283" s="54"/>
      <c r="N283" s="54"/>
      <c r="O283" s="54"/>
      <c r="P283" s="54"/>
    </row>
    <row r="284" spans="1:16" ht="14.25" customHeight="1">
      <c r="A284" s="58"/>
      <c r="B284" s="69" t="s">
        <v>946</v>
      </c>
      <c r="C284" s="71"/>
      <c r="D284" s="71"/>
      <c r="E284" s="71"/>
      <c r="F284" s="71"/>
      <c r="G284" s="71"/>
      <c r="H284" s="71"/>
      <c r="I284" s="54"/>
      <c r="J284" s="54"/>
      <c r="K284" s="54"/>
      <c r="L284" s="54"/>
      <c r="M284" s="54"/>
      <c r="N284" s="54"/>
      <c r="O284" s="54"/>
      <c r="P284" s="54"/>
    </row>
    <row r="285" spans="1:16" ht="14.25" customHeight="1">
      <c r="A285" s="58"/>
      <c r="B285" s="69" t="s">
        <v>947</v>
      </c>
      <c r="C285" s="71"/>
      <c r="D285" s="71"/>
      <c r="E285" s="71"/>
      <c r="F285" s="71"/>
      <c r="G285" s="71"/>
      <c r="H285" s="71"/>
      <c r="I285" s="54"/>
      <c r="J285" s="54"/>
      <c r="K285" s="54"/>
      <c r="L285" s="54"/>
      <c r="M285" s="54"/>
      <c r="N285" s="54"/>
      <c r="O285" s="54"/>
      <c r="P285" s="54"/>
    </row>
    <row r="286" spans="1:16" ht="14.25" customHeight="1">
      <c r="A286" s="96"/>
      <c r="B286" s="69" t="s">
        <v>948</v>
      </c>
      <c r="C286" s="97"/>
      <c r="D286" s="97"/>
      <c r="E286" s="97"/>
      <c r="F286" s="97"/>
      <c r="G286" s="97"/>
      <c r="H286" s="97"/>
      <c r="I286" s="54"/>
      <c r="J286" s="54"/>
      <c r="K286" s="54"/>
      <c r="L286" s="54"/>
      <c r="M286" s="54"/>
      <c r="N286" s="54"/>
      <c r="O286" s="54"/>
      <c r="P286" s="54"/>
    </row>
    <row r="287" spans="1:16" ht="14.25" customHeight="1">
      <c r="A287" s="96"/>
      <c r="B287" s="69" t="s">
        <v>994</v>
      </c>
      <c r="C287" s="97"/>
      <c r="D287" s="97"/>
      <c r="E287" s="97"/>
      <c r="F287" s="97"/>
      <c r="G287" s="97"/>
      <c r="H287" s="97"/>
      <c r="I287" s="54"/>
      <c r="J287" s="54"/>
      <c r="K287" s="54"/>
      <c r="L287" s="54"/>
      <c r="M287" s="54"/>
      <c r="N287" s="54"/>
      <c r="O287" s="54"/>
      <c r="P287" s="54"/>
    </row>
    <row r="288" spans="1:16" ht="14.25" customHeight="1">
      <c r="A288" s="58"/>
      <c r="B288" s="69"/>
      <c r="C288" s="71"/>
      <c r="D288" s="71"/>
      <c r="E288" s="71"/>
      <c r="F288" s="71"/>
      <c r="G288" s="71"/>
      <c r="H288" s="71"/>
      <c r="I288" s="54"/>
      <c r="J288" s="54"/>
      <c r="K288" s="54"/>
      <c r="L288" s="54"/>
      <c r="M288" s="54"/>
      <c r="N288" s="54"/>
      <c r="O288" s="54"/>
      <c r="P288" s="54"/>
    </row>
    <row r="289" spans="1:16" ht="14.25" customHeight="1">
      <c r="A289" s="58" t="s">
        <v>112</v>
      </c>
      <c r="B289" s="69" t="s">
        <v>852</v>
      </c>
      <c r="C289" s="71"/>
      <c r="D289" s="71"/>
      <c r="E289" s="71"/>
      <c r="F289" s="71"/>
      <c r="G289" s="71"/>
      <c r="H289" s="71"/>
      <c r="I289" s="54"/>
      <c r="J289" s="54"/>
      <c r="K289" s="54"/>
      <c r="L289" s="54"/>
      <c r="M289" s="54"/>
      <c r="N289" s="54"/>
      <c r="O289" s="54"/>
      <c r="P289" s="54"/>
    </row>
    <row r="290" spans="1:16" ht="14.25" customHeight="1">
      <c r="A290" s="58"/>
      <c r="B290" s="69" t="s">
        <v>949</v>
      </c>
      <c r="C290" s="95"/>
      <c r="D290" s="95"/>
      <c r="E290" s="95"/>
      <c r="F290" s="95"/>
      <c r="G290" s="95"/>
      <c r="H290" s="95"/>
      <c r="I290" s="54"/>
      <c r="J290" s="54"/>
      <c r="K290" s="54"/>
      <c r="L290" s="54"/>
      <c r="M290" s="54"/>
      <c r="N290" s="54"/>
      <c r="O290" s="54"/>
      <c r="P290" s="54"/>
    </row>
    <row r="291" spans="1:16" ht="14.25" customHeight="1">
      <c r="A291" s="58"/>
      <c r="B291" s="69" t="s">
        <v>950</v>
      </c>
      <c r="C291" s="95"/>
      <c r="D291" s="95"/>
      <c r="E291" s="95"/>
      <c r="F291" s="95"/>
      <c r="G291" s="95"/>
      <c r="H291" s="95"/>
      <c r="I291" s="54"/>
      <c r="J291" s="54"/>
      <c r="K291" s="54"/>
      <c r="L291" s="54"/>
      <c r="M291" s="54"/>
      <c r="N291" s="54"/>
      <c r="O291" s="54"/>
      <c r="P291" s="54"/>
    </row>
    <row r="292" spans="1:16" ht="14.25" customHeight="1">
      <c r="A292" s="58"/>
      <c r="B292" s="69" t="s">
        <v>853</v>
      </c>
      <c r="C292" s="71"/>
      <c r="D292" s="71"/>
      <c r="E292" s="71"/>
      <c r="F292" s="71"/>
      <c r="G292" s="71"/>
      <c r="H292" s="71"/>
      <c r="I292" s="54"/>
      <c r="J292" s="54"/>
      <c r="K292" s="54"/>
      <c r="L292" s="54"/>
      <c r="M292" s="54"/>
      <c r="N292" s="54"/>
      <c r="O292" s="54"/>
      <c r="P292" s="54"/>
    </row>
    <row r="293" spans="1:16" ht="14.25" customHeight="1">
      <c r="A293" s="621"/>
      <c r="B293" s="69"/>
      <c r="C293" s="624"/>
      <c r="D293" s="624"/>
      <c r="E293" s="624"/>
      <c r="F293" s="624"/>
      <c r="G293" s="624"/>
      <c r="H293" s="624"/>
      <c r="I293" s="54"/>
      <c r="J293" s="54"/>
      <c r="K293" s="54"/>
      <c r="L293" s="54"/>
      <c r="M293" s="54"/>
      <c r="N293" s="54"/>
      <c r="O293" s="54"/>
      <c r="P293" s="54"/>
    </row>
    <row r="294" spans="1:16" ht="14.25" customHeight="1">
      <c r="A294" s="58" t="s">
        <v>113</v>
      </c>
      <c r="B294" s="69" t="s">
        <v>951</v>
      </c>
      <c r="C294" s="71"/>
      <c r="D294" s="71"/>
      <c r="E294" s="71"/>
      <c r="F294" s="71"/>
      <c r="G294" s="71"/>
      <c r="H294" s="71"/>
      <c r="I294" s="54"/>
      <c r="J294" s="54"/>
      <c r="K294" s="54"/>
      <c r="L294" s="54"/>
      <c r="M294" s="54"/>
      <c r="N294" s="54"/>
      <c r="O294" s="54"/>
      <c r="P294" s="54"/>
    </row>
    <row r="295" spans="1:16" ht="14.25" customHeight="1">
      <c r="A295" s="58"/>
      <c r="B295" s="69" t="s">
        <v>995</v>
      </c>
      <c r="C295" s="71"/>
      <c r="D295" s="71"/>
      <c r="E295" s="71"/>
      <c r="F295" s="71"/>
      <c r="G295" s="71"/>
      <c r="H295" s="71"/>
      <c r="I295" s="54"/>
      <c r="J295" s="54"/>
      <c r="K295" s="54"/>
      <c r="L295" s="54"/>
      <c r="M295" s="54"/>
      <c r="N295" s="54"/>
      <c r="O295" s="54"/>
      <c r="P295" s="54"/>
    </row>
    <row r="296" spans="1:16" ht="14.25" customHeight="1">
      <c r="A296" s="76"/>
      <c r="B296" s="69" t="s">
        <v>952</v>
      </c>
      <c r="C296" s="71"/>
      <c r="D296" s="71"/>
      <c r="E296" s="71"/>
      <c r="F296" s="71"/>
      <c r="G296" s="71"/>
      <c r="H296" s="71"/>
      <c r="I296" s="54"/>
      <c r="J296" s="54"/>
      <c r="K296" s="54"/>
      <c r="L296" s="54"/>
      <c r="M296" s="54"/>
      <c r="N296" s="54"/>
      <c r="O296" s="54"/>
      <c r="P296" s="54"/>
    </row>
    <row r="297" spans="1:16" ht="14.25" customHeight="1">
      <c r="A297" s="58"/>
      <c r="B297" s="69"/>
      <c r="C297" s="71"/>
      <c r="D297" s="71"/>
      <c r="E297" s="71"/>
      <c r="F297" s="71"/>
      <c r="G297" s="71"/>
      <c r="H297" s="71"/>
      <c r="I297" s="54"/>
      <c r="J297" s="54"/>
      <c r="K297" s="54"/>
      <c r="L297" s="54"/>
      <c r="M297" s="54"/>
      <c r="N297" s="54"/>
      <c r="O297" s="54"/>
      <c r="P297" s="54"/>
    </row>
    <row r="298" spans="1:16" ht="14.25" customHeight="1">
      <c r="A298" s="58" t="s">
        <v>279</v>
      </c>
      <c r="B298" s="69" t="str">
        <f>"Die Einrichtung stellt sicher, dass die Pflegebedürftigen bzw. ihre Angehörigen im Rahmen"</f>
        <v>Die Einrichtung stellt sicher, dass die Pflegebedürftigen bzw. ihre Angehörigen im Rahmen</v>
      </c>
      <c r="C298" s="71"/>
      <c r="D298" s="71"/>
      <c r="E298" s="71"/>
      <c r="F298" s="71"/>
      <c r="G298" s="71"/>
      <c r="H298" s="71"/>
      <c r="I298" s="54"/>
      <c r="J298" s="54"/>
      <c r="K298" s="54"/>
      <c r="L298" s="54"/>
      <c r="M298" s="54"/>
      <c r="N298" s="54"/>
      <c r="O298" s="54"/>
      <c r="P298" s="54"/>
    </row>
    <row r="299" spans="1:16" ht="14.25" customHeight="1">
      <c r="A299" s="58"/>
      <c r="B299" s="69" t="str">
        <f>"der Verhandlungen und des Abschlusses des Heimvertrages nachprüfbar und deutlich darauf "</f>
        <v xml:space="preserve">der Verhandlungen und des Abschlusses des Heimvertrages nachprüfbar und deutlich darauf </v>
      </c>
      <c r="C299" s="71"/>
      <c r="D299" s="71"/>
      <c r="E299" s="71"/>
      <c r="F299" s="71"/>
      <c r="G299" s="71"/>
      <c r="H299" s="71"/>
      <c r="I299" s="54"/>
      <c r="J299" s="54"/>
      <c r="K299" s="54"/>
      <c r="L299" s="54"/>
      <c r="M299" s="54"/>
      <c r="N299" s="54"/>
      <c r="O299" s="54"/>
      <c r="P299" s="54"/>
    </row>
    <row r="300" spans="1:16" ht="14.25" customHeight="1">
      <c r="A300" s="58"/>
      <c r="B300" s="69" t="s">
        <v>968</v>
      </c>
      <c r="C300" s="71"/>
      <c r="D300" s="71"/>
      <c r="E300" s="71"/>
      <c r="F300" s="71"/>
      <c r="G300" s="71"/>
      <c r="H300" s="71"/>
      <c r="I300" s="54"/>
      <c r="J300" s="54"/>
      <c r="K300" s="54"/>
      <c r="L300" s="54"/>
      <c r="M300" s="54"/>
      <c r="N300" s="54"/>
      <c r="O300" s="54"/>
      <c r="P300" s="54"/>
    </row>
    <row r="301" spans="1:16" ht="14.25" customHeight="1">
      <c r="A301" s="96"/>
      <c r="B301" s="69" t="s">
        <v>967</v>
      </c>
      <c r="C301" s="97"/>
      <c r="D301" s="97"/>
      <c r="E301" s="97"/>
      <c r="F301" s="97"/>
      <c r="G301" s="97"/>
      <c r="H301" s="97"/>
      <c r="I301" s="54"/>
      <c r="J301" s="54"/>
      <c r="K301" s="54"/>
      <c r="L301" s="54"/>
      <c r="M301" s="54"/>
      <c r="N301" s="54"/>
      <c r="O301" s="54"/>
      <c r="P301" s="54"/>
    </row>
    <row r="302" spans="1:16" ht="14.25" customHeight="1">
      <c r="A302" s="58"/>
      <c r="B302" s="69"/>
      <c r="C302" s="71"/>
      <c r="D302" s="71"/>
      <c r="E302" s="71"/>
      <c r="F302" s="71"/>
      <c r="G302" s="71"/>
      <c r="H302" s="71"/>
      <c r="I302" s="54"/>
      <c r="J302" s="54"/>
      <c r="K302" s="54"/>
      <c r="L302" s="54"/>
      <c r="M302" s="54"/>
      <c r="N302" s="54"/>
      <c r="O302" s="54"/>
      <c r="P302" s="54"/>
    </row>
    <row r="303" spans="1:16" ht="14.25" customHeight="1">
      <c r="A303" s="58" t="s">
        <v>317</v>
      </c>
      <c r="B303" s="69" t="s">
        <v>854</v>
      </c>
      <c r="C303" s="71"/>
      <c r="D303" s="71"/>
      <c r="E303" s="71"/>
      <c r="F303" s="71"/>
      <c r="G303" s="71"/>
      <c r="H303" s="71"/>
      <c r="I303" s="54"/>
      <c r="J303" s="54"/>
      <c r="K303" s="54"/>
      <c r="L303" s="54"/>
      <c r="M303" s="54"/>
      <c r="N303" s="54"/>
      <c r="O303" s="54"/>
      <c r="P303" s="54"/>
    </row>
    <row r="304" spans="1:16" ht="14.25" customHeight="1">
      <c r="A304" s="58"/>
      <c r="B304" s="69" t="str">
        <f>"Betreuung und Aktivierung für Pflegebedürftige nicht erbracht wird."</f>
        <v>Betreuung und Aktivierung für Pflegebedürftige nicht erbracht wird.</v>
      </c>
      <c r="C304" s="71"/>
      <c r="D304" s="71"/>
      <c r="E304" s="71"/>
      <c r="F304" s="71"/>
      <c r="G304" s="71"/>
      <c r="H304" s="71"/>
      <c r="I304" s="54"/>
      <c r="J304" s="54"/>
      <c r="K304" s="54"/>
      <c r="L304" s="54"/>
      <c r="M304" s="54"/>
      <c r="N304" s="54"/>
      <c r="O304" s="54"/>
      <c r="P304" s="54"/>
    </row>
    <row r="305" spans="1:16" ht="14.25" customHeight="1">
      <c r="A305" s="58"/>
      <c r="B305" s="69"/>
      <c r="C305" s="71"/>
      <c r="D305" s="71"/>
      <c r="E305" s="71"/>
      <c r="F305" s="71"/>
      <c r="G305" s="71"/>
      <c r="H305" s="71"/>
      <c r="I305" s="54"/>
      <c r="J305" s="54"/>
      <c r="K305" s="54"/>
      <c r="L305" s="54"/>
      <c r="M305" s="54"/>
      <c r="N305" s="54"/>
      <c r="O305" s="54"/>
      <c r="P305" s="54"/>
    </row>
    <row r="306" spans="1:16" ht="14.25" customHeight="1">
      <c r="A306" s="58" t="s">
        <v>855</v>
      </c>
      <c r="B306" s="69" t="s">
        <v>856</v>
      </c>
      <c r="C306" s="69"/>
      <c r="D306" s="69"/>
      <c r="E306" s="69"/>
      <c r="F306" s="69"/>
      <c r="G306" s="69"/>
      <c r="H306" s="69"/>
      <c r="I306" s="54"/>
      <c r="J306" s="54"/>
      <c r="K306" s="54"/>
      <c r="L306" s="54"/>
      <c r="M306" s="54"/>
      <c r="N306" s="54"/>
      <c r="O306" s="54"/>
      <c r="P306" s="54"/>
    </row>
    <row r="307" spans="1:16" ht="14.25" customHeight="1">
      <c r="A307" s="58"/>
      <c r="B307" s="69" t="s">
        <v>953</v>
      </c>
      <c r="C307" s="71"/>
      <c r="D307" s="71"/>
      <c r="E307" s="71"/>
      <c r="F307" s="71"/>
      <c r="G307" s="71"/>
      <c r="H307" s="71"/>
      <c r="I307" s="54"/>
      <c r="J307" s="54"/>
      <c r="K307" s="54"/>
      <c r="L307" s="54"/>
      <c r="M307" s="54"/>
      <c r="N307" s="54"/>
      <c r="O307" s="54"/>
      <c r="P307" s="54"/>
    </row>
    <row r="308" spans="1:16" ht="14.25" customHeight="1">
      <c r="A308" s="58"/>
      <c r="B308" s="69"/>
      <c r="C308" s="71"/>
      <c r="D308" s="71"/>
      <c r="E308" s="71"/>
      <c r="F308" s="71"/>
      <c r="G308" s="71"/>
      <c r="H308" s="71"/>
      <c r="I308" s="98"/>
      <c r="J308" s="98"/>
      <c r="K308" s="98"/>
      <c r="L308" s="98"/>
      <c r="M308" s="98"/>
      <c r="N308" s="98"/>
      <c r="O308" s="98"/>
      <c r="P308" s="98"/>
    </row>
    <row r="309" spans="1:16" ht="14.25" customHeight="1">
      <c r="A309" s="4647" t="e">
        <f>FIXED(Protokoll!C63,2)&amp;" Vollzeitkräfte"</f>
        <v>#VALUE!</v>
      </c>
      <c r="B309" s="4647"/>
      <c r="C309" s="4647"/>
      <c r="D309" s="4647"/>
      <c r="E309" s="4647"/>
      <c r="F309" s="4647"/>
      <c r="G309" s="4647"/>
      <c r="H309" s="4647"/>
      <c r="I309" s="4647"/>
      <c r="J309" s="98"/>
      <c r="K309" s="98"/>
      <c r="L309" s="98"/>
      <c r="M309" s="98"/>
      <c r="N309" s="98"/>
      <c r="O309" s="98"/>
      <c r="P309" s="98"/>
    </row>
    <row r="310" spans="1:16" ht="14.25" customHeight="1">
      <c r="A310" s="58"/>
      <c r="B310" s="88"/>
      <c r="C310" s="71"/>
      <c r="D310" s="71"/>
      <c r="E310" s="71"/>
      <c r="F310" s="71"/>
      <c r="G310" s="71"/>
      <c r="H310" s="71"/>
      <c r="I310" s="459"/>
      <c r="J310" s="459"/>
      <c r="K310" s="459"/>
      <c r="L310" s="459"/>
      <c r="M310" s="459"/>
      <c r="N310" s="459"/>
      <c r="O310" s="459"/>
      <c r="P310" s="459"/>
    </row>
    <row r="311" spans="1:16" ht="14.25" customHeight="1">
      <c r="A311" s="58"/>
      <c r="B311" s="69" t="s">
        <v>857</v>
      </c>
      <c r="C311" s="71"/>
      <c r="D311" s="71"/>
      <c r="E311" s="71"/>
      <c r="F311" s="71"/>
      <c r="G311" s="71"/>
      <c r="H311" s="71"/>
      <c r="I311" s="459"/>
      <c r="J311" s="459"/>
      <c r="K311" s="459"/>
      <c r="L311" s="459"/>
      <c r="M311" s="459"/>
      <c r="N311" s="459"/>
      <c r="O311" s="459"/>
      <c r="P311" s="459"/>
    </row>
    <row r="312" spans="1:16" ht="14.25" customHeight="1">
      <c r="A312" s="58"/>
      <c r="B312" s="69"/>
      <c r="C312" s="71"/>
      <c r="D312" s="71"/>
      <c r="E312" s="71"/>
      <c r="F312" s="71"/>
      <c r="G312" s="71"/>
      <c r="H312" s="71"/>
      <c r="I312" s="459"/>
      <c r="J312" s="459"/>
      <c r="K312" s="459"/>
      <c r="L312" s="459"/>
      <c r="M312" s="459"/>
      <c r="N312" s="459"/>
      <c r="O312" s="459"/>
      <c r="P312" s="459"/>
    </row>
    <row r="313" spans="1:16" ht="14.25" customHeight="1">
      <c r="A313" s="58" t="s">
        <v>858</v>
      </c>
      <c r="B313" s="69" t="str">
        <f>"Bei Leistungen der vollstationären Pflege (§§ 43, 43b SGB XI) zahlt die jeweils zuständige"</f>
        <v>Bei Leistungen der vollstationären Pflege (§§ 43, 43b SGB XI) zahlt die jeweils zuständige</v>
      </c>
      <c r="C313" s="71"/>
      <c r="D313" s="71"/>
      <c r="E313" s="71"/>
      <c r="F313" s="71"/>
      <c r="G313" s="71"/>
      <c r="H313" s="71"/>
      <c r="I313" s="459"/>
      <c r="J313" s="459"/>
      <c r="K313" s="459"/>
      <c r="L313" s="459"/>
      <c r="M313" s="459"/>
      <c r="N313" s="459"/>
      <c r="O313" s="459"/>
      <c r="P313" s="459"/>
    </row>
    <row r="314" spans="1:16" ht="14.25" customHeight="1">
      <c r="A314" s="58"/>
      <c r="B314" s="69" t="s">
        <v>954</v>
      </c>
      <c r="C314" s="71"/>
      <c r="D314" s="71"/>
      <c r="E314" s="71"/>
      <c r="F314" s="71"/>
      <c r="G314" s="71"/>
      <c r="H314" s="71"/>
      <c r="I314" s="459"/>
      <c r="J314" s="459"/>
      <c r="K314" s="459"/>
      <c r="L314" s="459"/>
      <c r="M314" s="459"/>
      <c r="N314" s="459"/>
      <c r="O314" s="459"/>
      <c r="P314" s="459"/>
    </row>
    <row r="315" spans="1:16" ht="14.25" customHeight="1">
      <c r="A315" s="58"/>
      <c r="B315" s="69"/>
      <c r="C315" s="71"/>
      <c r="D315" s="71"/>
      <c r="E315" s="71"/>
      <c r="F315" s="71"/>
      <c r="G315" s="71"/>
      <c r="H315" s="71"/>
      <c r="I315" s="459"/>
      <c r="J315" s="459"/>
      <c r="K315" s="459"/>
      <c r="L315" s="459"/>
      <c r="M315" s="459"/>
      <c r="N315" s="459"/>
      <c r="O315" s="459"/>
      <c r="P315" s="459"/>
    </row>
    <row r="316" spans="1:16" ht="14.25" customHeight="1">
      <c r="A316" s="4647" t="e">
        <f>FIXED(Protokoll!D63,2)&amp;" €."</f>
        <v>#VALUE!</v>
      </c>
      <c r="B316" s="4647"/>
      <c r="C316" s="4647"/>
      <c r="D316" s="4647"/>
      <c r="E316" s="4647"/>
      <c r="F316" s="4647"/>
      <c r="G316" s="4647"/>
      <c r="H316" s="4647"/>
      <c r="I316" s="4647"/>
      <c r="J316" s="54"/>
      <c r="K316" s="54"/>
      <c r="L316" s="54"/>
      <c r="M316" s="54"/>
      <c r="N316" s="54"/>
      <c r="O316" s="54"/>
      <c r="P316" s="54"/>
    </row>
    <row r="317" spans="1:16" ht="14.25" customHeight="1">
      <c r="A317" s="58"/>
      <c r="B317" s="88"/>
      <c r="C317" s="71"/>
      <c r="D317" s="71"/>
      <c r="E317" s="71"/>
      <c r="F317" s="71"/>
      <c r="G317" s="71"/>
      <c r="H317" s="71"/>
      <c r="I317" s="54"/>
      <c r="J317" s="54"/>
      <c r="K317" s="54"/>
      <c r="L317" s="54"/>
      <c r="M317" s="54"/>
      <c r="N317" s="54"/>
      <c r="O317" s="54"/>
      <c r="P317" s="54"/>
    </row>
    <row r="318" spans="1:16" ht="14.25" customHeight="1">
      <c r="A318" s="58"/>
      <c r="B318" s="69" t="s">
        <v>859</v>
      </c>
      <c r="C318" s="88"/>
      <c r="D318" s="88"/>
      <c r="E318" s="88"/>
      <c r="F318" s="88"/>
      <c r="G318" s="88"/>
      <c r="H318" s="88"/>
      <c r="I318" s="54"/>
      <c r="J318" s="54"/>
      <c r="K318" s="54"/>
      <c r="L318" s="54"/>
      <c r="M318" s="54"/>
      <c r="N318" s="54"/>
      <c r="O318" s="54"/>
      <c r="P318" s="54"/>
    </row>
    <row r="319" spans="1:16" ht="14.25" customHeight="1">
      <c r="A319" s="58"/>
      <c r="B319" s="69" t="s">
        <v>860</v>
      </c>
      <c r="C319" s="88"/>
      <c r="D319" s="88"/>
      <c r="E319" s="88"/>
      <c r="F319" s="88"/>
      <c r="G319" s="88"/>
      <c r="H319" s="88"/>
      <c r="I319" s="54"/>
      <c r="J319" s="54"/>
      <c r="K319" s="54"/>
      <c r="L319" s="54"/>
      <c r="M319" s="54"/>
      <c r="N319" s="54"/>
      <c r="O319" s="54"/>
      <c r="P319" s="54"/>
    </row>
    <row r="320" spans="1:16" ht="14.25" customHeight="1">
      <c r="A320" s="58"/>
      <c r="B320" s="69" t="s">
        <v>861</v>
      </c>
      <c r="C320" s="71"/>
      <c r="D320" s="71"/>
      <c r="E320" s="71"/>
      <c r="F320" s="71"/>
      <c r="G320" s="71"/>
      <c r="H320" s="71"/>
      <c r="I320" s="54"/>
      <c r="J320" s="54"/>
      <c r="K320" s="54"/>
      <c r="L320" s="54"/>
      <c r="M320" s="54"/>
      <c r="N320" s="54"/>
      <c r="O320" s="54"/>
      <c r="P320" s="54"/>
    </row>
    <row r="321" spans="1:16" ht="14.25" customHeight="1">
      <c r="A321" s="458"/>
      <c r="B321" s="69"/>
      <c r="C321" s="460"/>
      <c r="D321" s="460"/>
      <c r="E321" s="460"/>
      <c r="F321" s="460"/>
      <c r="G321" s="460"/>
      <c r="H321" s="460"/>
      <c r="I321" s="54"/>
      <c r="J321" s="54"/>
      <c r="K321" s="54"/>
      <c r="L321" s="54"/>
      <c r="M321" s="54"/>
      <c r="N321" s="54"/>
      <c r="O321" s="54"/>
      <c r="P321" s="54"/>
    </row>
    <row r="322" spans="1:16" ht="14.25" customHeight="1">
      <c r="A322" s="58"/>
      <c r="B322" s="69" t="s">
        <v>955</v>
      </c>
      <c r="C322" s="71"/>
      <c r="D322" s="71"/>
      <c r="E322" s="71"/>
      <c r="F322" s="71"/>
      <c r="G322" s="71"/>
      <c r="H322" s="71"/>
      <c r="I322" s="119"/>
      <c r="J322" s="54"/>
      <c r="K322" s="54"/>
      <c r="L322" s="54"/>
      <c r="M322" s="54"/>
      <c r="N322" s="54"/>
      <c r="O322" s="54"/>
      <c r="P322" s="54"/>
    </row>
    <row r="323" spans="1:16" ht="14.25" customHeight="1">
      <c r="A323" s="58"/>
      <c r="B323" s="69" t="s">
        <v>970</v>
      </c>
      <c r="C323" s="71"/>
      <c r="D323" s="71"/>
      <c r="E323" s="71"/>
      <c r="F323" s="71"/>
      <c r="G323" s="71"/>
      <c r="H323" s="71"/>
      <c r="I323" s="117"/>
      <c r="J323" s="54"/>
      <c r="K323" s="54"/>
      <c r="L323" s="54"/>
      <c r="M323" s="54"/>
      <c r="N323" s="54"/>
      <c r="O323" s="54"/>
      <c r="P323" s="54"/>
    </row>
    <row r="324" spans="1:16" ht="14.25" customHeight="1">
      <c r="A324" s="58"/>
      <c r="B324" s="69" t="s">
        <v>956</v>
      </c>
      <c r="C324" s="71"/>
      <c r="D324" s="71"/>
      <c r="E324" s="71"/>
      <c r="F324" s="71"/>
      <c r="G324" s="71"/>
      <c r="H324" s="71"/>
      <c r="I324" s="117"/>
      <c r="J324" s="54"/>
      <c r="K324" s="54"/>
      <c r="L324" s="54"/>
      <c r="M324" s="54"/>
      <c r="N324" s="54"/>
      <c r="O324" s="54"/>
      <c r="P324" s="54"/>
    </row>
    <row r="325" spans="1:16" ht="14.25" customHeight="1">
      <c r="A325" s="58"/>
      <c r="B325" s="69" t="s">
        <v>957</v>
      </c>
      <c r="C325" s="88"/>
      <c r="D325" s="88"/>
      <c r="E325" s="88"/>
      <c r="F325" s="88"/>
      <c r="G325" s="88"/>
      <c r="H325" s="88"/>
      <c r="I325" s="117"/>
      <c r="J325" s="54"/>
      <c r="K325" s="54"/>
      <c r="L325" s="54"/>
      <c r="M325" s="54"/>
      <c r="N325" s="54"/>
      <c r="O325" s="54"/>
      <c r="P325" s="54"/>
    </row>
    <row r="326" spans="1:16" ht="14.25" customHeight="1">
      <c r="A326" s="110"/>
      <c r="B326" s="69" t="s">
        <v>958</v>
      </c>
      <c r="C326" s="111"/>
      <c r="D326" s="111"/>
      <c r="E326" s="111"/>
      <c r="F326" s="111"/>
      <c r="G326" s="111"/>
      <c r="H326" s="111"/>
      <c r="I326" s="117"/>
      <c r="J326" s="54"/>
      <c r="K326" s="54"/>
      <c r="L326" s="54"/>
      <c r="M326" s="54"/>
      <c r="N326" s="54"/>
      <c r="O326" s="54"/>
      <c r="P326" s="54"/>
    </row>
    <row r="327" spans="1:16" ht="14.25" customHeight="1">
      <c r="A327" s="110"/>
      <c r="B327" s="69" t="s">
        <v>959</v>
      </c>
      <c r="C327" s="111"/>
      <c r="D327" s="111"/>
      <c r="E327" s="111"/>
      <c r="F327" s="111"/>
      <c r="G327" s="111"/>
      <c r="H327" s="111"/>
      <c r="I327" s="117"/>
      <c r="J327" s="54"/>
      <c r="K327" s="54"/>
      <c r="L327" s="54"/>
      <c r="M327" s="54"/>
      <c r="N327" s="54"/>
      <c r="O327" s="54"/>
      <c r="P327" s="54"/>
    </row>
    <row r="328" spans="1:16" ht="14.25" customHeight="1">
      <c r="A328" s="110"/>
      <c r="B328" s="69" t="s">
        <v>960</v>
      </c>
      <c r="C328" s="111"/>
      <c r="D328" s="111"/>
      <c r="E328" s="111"/>
      <c r="F328" s="111"/>
      <c r="G328" s="111"/>
      <c r="H328" s="111"/>
      <c r="I328" s="117"/>
      <c r="J328" s="54"/>
      <c r="K328" s="54"/>
      <c r="L328" s="54"/>
      <c r="M328" s="54"/>
      <c r="N328" s="54"/>
      <c r="O328" s="54"/>
      <c r="P328" s="54"/>
    </row>
    <row r="329" spans="1:16" ht="14.25" customHeight="1">
      <c r="A329" s="110"/>
      <c r="B329" s="69" t="s">
        <v>961</v>
      </c>
      <c r="C329" s="111"/>
      <c r="D329" s="111"/>
      <c r="E329" s="111"/>
      <c r="F329" s="111"/>
      <c r="G329" s="111"/>
      <c r="H329" s="111"/>
      <c r="I329" s="117"/>
      <c r="J329" s="54"/>
      <c r="K329" s="54"/>
      <c r="L329" s="54"/>
      <c r="M329" s="54"/>
      <c r="N329" s="54"/>
      <c r="O329" s="54"/>
      <c r="P329" s="54"/>
    </row>
    <row r="330" spans="1:16" ht="14.25" customHeight="1">
      <c r="A330" s="647"/>
      <c r="B330" s="69"/>
      <c r="C330" s="648"/>
      <c r="D330" s="648"/>
      <c r="E330" s="648"/>
      <c r="F330" s="648"/>
      <c r="G330" s="648"/>
      <c r="H330" s="648"/>
      <c r="I330" s="124"/>
      <c r="J330" s="54"/>
      <c r="K330" s="54"/>
      <c r="L330" s="54"/>
      <c r="M330" s="54"/>
      <c r="N330" s="54"/>
      <c r="O330" s="54"/>
      <c r="P330" s="54"/>
    </row>
    <row r="331" spans="1:16" ht="14.25" customHeight="1">
      <c r="A331" s="4645" t="s">
        <v>1223</v>
      </c>
      <c r="B331" s="4645"/>
      <c r="C331" s="4645"/>
      <c r="D331" s="4645"/>
      <c r="E331" s="4645"/>
      <c r="F331" s="4645"/>
      <c r="G331" s="4645"/>
      <c r="H331" s="4645"/>
      <c r="I331" s="4645"/>
      <c r="J331" s="54"/>
      <c r="K331" s="54"/>
      <c r="L331" s="54"/>
      <c r="M331" s="54"/>
      <c r="N331" s="54"/>
      <c r="O331" s="54"/>
      <c r="P331" s="54"/>
    </row>
    <row r="332" spans="1:16" ht="14.25" customHeight="1" outlineLevel="1">
      <c r="A332" s="647"/>
      <c r="B332" s="69"/>
      <c r="C332" s="648"/>
      <c r="D332" s="648"/>
      <c r="E332" s="648"/>
      <c r="F332" s="648"/>
      <c r="G332" s="648"/>
      <c r="H332" s="648"/>
      <c r="I332" s="124"/>
      <c r="J332" s="54"/>
      <c r="K332" s="54"/>
      <c r="L332" s="54"/>
      <c r="M332" s="54"/>
      <c r="N332" s="54"/>
      <c r="O332" s="54"/>
      <c r="P332" s="54"/>
    </row>
    <row r="333" spans="1:16" ht="14.25" customHeight="1" outlineLevel="1">
      <c r="A333" s="121" t="s">
        <v>862</v>
      </c>
      <c r="B333" s="69" t="s">
        <v>962</v>
      </c>
      <c r="C333" s="111"/>
      <c r="D333" s="111"/>
      <c r="E333" s="111"/>
      <c r="F333" s="111"/>
      <c r="G333" s="111"/>
      <c r="H333" s="111"/>
      <c r="I333" s="124"/>
      <c r="J333" s="54"/>
      <c r="K333" s="54"/>
      <c r="L333" s="54"/>
      <c r="M333" s="54"/>
      <c r="N333" s="54"/>
      <c r="O333" s="54"/>
      <c r="P333" s="54"/>
    </row>
    <row r="334" spans="1:16" ht="14.25" customHeight="1" outlineLevel="1">
      <c r="A334" s="110"/>
      <c r="B334" s="69" t="s">
        <v>969</v>
      </c>
      <c r="C334" s="111"/>
      <c r="D334" s="111"/>
      <c r="E334" s="111"/>
      <c r="F334" s="111"/>
      <c r="G334" s="111"/>
      <c r="H334" s="111"/>
      <c r="I334" s="54"/>
      <c r="J334" s="54"/>
      <c r="K334" s="54"/>
      <c r="L334" s="54"/>
      <c r="M334" s="54"/>
      <c r="N334" s="54"/>
      <c r="O334" s="54"/>
      <c r="P334" s="54"/>
    </row>
    <row r="335" spans="1:16" ht="14.25" customHeight="1" outlineLevel="1">
      <c r="A335" s="110"/>
      <c r="B335" s="69"/>
      <c r="C335" s="111"/>
      <c r="D335" s="111"/>
      <c r="E335" s="111"/>
      <c r="F335" s="111"/>
      <c r="G335" s="111"/>
      <c r="H335" s="111"/>
      <c r="I335" s="54"/>
      <c r="J335" s="54"/>
      <c r="K335" s="54"/>
      <c r="L335" s="54"/>
      <c r="M335" s="54"/>
      <c r="N335" s="54"/>
      <c r="O335" s="54"/>
      <c r="P335" s="54"/>
    </row>
    <row r="336" spans="1:16" ht="14.25" customHeight="1" outlineLevel="1">
      <c r="A336" s="110"/>
      <c r="B336" s="119"/>
      <c r="C336" s="447" t="s">
        <v>1258</v>
      </c>
      <c r="D336" s="448">
        <v>831912</v>
      </c>
      <c r="E336" s="119"/>
      <c r="F336" s="119" t="e">
        <f>FIXED(Protokoll!E63,2)&amp;" €."</f>
        <v>#VALUE!</v>
      </c>
      <c r="G336" s="119"/>
      <c r="H336" s="119"/>
      <c r="I336" s="54"/>
      <c r="J336" s="54"/>
      <c r="K336" s="54"/>
      <c r="L336" s="54"/>
      <c r="M336" s="54"/>
      <c r="N336" s="54"/>
      <c r="O336" s="54"/>
      <c r="P336" s="54"/>
    </row>
    <row r="337" spans="1:16" ht="14.25" customHeight="1" outlineLevel="1">
      <c r="A337" s="110"/>
      <c r="B337" s="117"/>
      <c r="C337" s="117"/>
      <c r="D337" s="117"/>
      <c r="E337" s="117"/>
      <c r="F337" s="117"/>
      <c r="G337" s="117"/>
      <c r="H337" s="117"/>
      <c r="I337" s="54"/>
      <c r="J337" s="54"/>
      <c r="K337" s="54"/>
      <c r="L337" s="54"/>
      <c r="M337" s="54"/>
      <c r="N337" s="54"/>
      <c r="O337" s="54"/>
      <c r="P337" s="54"/>
    </row>
    <row r="338" spans="1:16" ht="14.25" customHeight="1" outlineLevel="1">
      <c r="A338" s="110"/>
      <c r="B338" s="118" t="s">
        <v>963</v>
      </c>
      <c r="C338" s="117"/>
      <c r="D338" s="117"/>
      <c r="E338" s="117"/>
      <c r="F338" s="117"/>
      <c r="G338" s="117"/>
      <c r="H338" s="117"/>
      <c r="I338" s="54"/>
      <c r="J338" s="54"/>
      <c r="K338" s="54"/>
      <c r="L338" s="54"/>
      <c r="M338" s="54"/>
      <c r="N338" s="54"/>
      <c r="O338" s="54"/>
      <c r="P338" s="54"/>
    </row>
    <row r="339" spans="1:16" ht="14.25" customHeight="1" outlineLevel="1">
      <c r="A339" s="110"/>
      <c r="B339" s="118" t="s">
        <v>977</v>
      </c>
      <c r="C339" s="117"/>
      <c r="D339" s="117"/>
      <c r="E339" s="117"/>
      <c r="F339" s="117"/>
      <c r="G339" s="117"/>
      <c r="H339" s="117"/>
      <c r="I339" s="54"/>
      <c r="J339" s="54"/>
      <c r="K339" s="54"/>
      <c r="L339" s="54"/>
      <c r="M339" s="54"/>
      <c r="N339" s="54"/>
      <c r="O339" s="54"/>
      <c r="P339" s="54"/>
    </row>
    <row r="340" spans="1:16" ht="14.25" customHeight="1" outlineLevel="1">
      <c r="A340" s="110"/>
      <c r="B340" s="118" t="s">
        <v>964</v>
      </c>
      <c r="C340" s="117"/>
      <c r="D340" s="117"/>
      <c r="E340" s="117"/>
      <c r="F340" s="117"/>
      <c r="G340" s="117"/>
      <c r="H340" s="117"/>
      <c r="I340" s="54"/>
      <c r="J340" s="54"/>
      <c r="K340" s="54"/>
      <c r="L340" s="54"/>
      <c r="M340" s="54"/>
      <c r="N340" s="54"/>
      <c r="O340" s="54"/>
      <c r="P340" s="54"/>
    </row>
    <row r="341" spans="1:16" ht="14.25" customHeight="1" outlineLevel="1">
      <c r="A341" s="110"/>
      <c r="B341" s="118"/>
      <c r="C341" s="117"/>
      <c r="D341" s="117"/>
      <c r="E341" s="117"/>
      <c r="F341" s="117"/>
      <c r="G341" s="117"/>
      <c r="H341" s="117"/>
      <c r="I341" s="54"/>
      <c r="J341" s="54"/>
      <c r="K341" s="54"/>
      <c r="L341" s="54"/>
      <c r="M341" s="54"/>
      <c r="N341" s="54"/>
      <c r="O341" s="54"/>
      <c r="P341" s="54"/>
    </row>
    <row r="342" spans="1:16" ht="14.25" customHeight="1" outlineLevel="1">
      <c r="A342" s="110"/>
      <c r="B342" s="118" t="s">
        <v>965</v>
      </c>
      <c r="C342" s="117"/>
      <c r="D342" s="117"/>
      <c r="E342" s="117"/>
      <c r="F342" s="117"/>
      <c r="G342" s="117"/>
      <c r="H342" s="117"/>
      <c r="I342" s="54"/>
      <c r="J342" s="54"/>
      <c r="K342" s="54"/>
      <c r="L342" s="54"/>
      <c r="M342" s="54"/>
      <c r="N342" s="54"/>
      <c r="O342" s="54"/>
      <c r="P342" s="54"/>
    </row>
    <row r="343" spans="1:16" ht="14.25" customHeight="1" outlineLevel="1">
      <c r="A343" s="110"/>
      <c r="B343" s="118" t="s">
        <v>1024</v>
      </c>
      <c r="C343" s="117"/>
      <c r="D343" s="117"/>
      <c r="E343" s="117"/>
      <c r="F343" s="117"/>
      <c r="G343" s="117"/>
      <c r="H343" s="117"/>
      <c r="I343" s="54"/>
      <c r="J343" s="54"/>
      <c r="K343" s="54"/>
      <c r="L343" s="54"/>
      <c r="M343" s="54"/>
      <c r="N343" s="54"/>
      <c r="O343" s="54"/>
      <c r="P343" s="54"/>
    </row>
    <row r="344" spans="1:16" ht="14.25" customHeight="1" outlineLevel="1">
      <c r="A344" s="110"/>
      <c r="B344" s="118" t="s">
        <v>1255</v>
      </c>
      <c r="C344" s="117"/>
      <c r="D344" s="117"/>
      <c r="E344" s="117"/>
      <c r="F344" s="117"/>
      <c r="G344" s="117"/>
      <c r="H344" s="117"/>
      <c r="I344" s="54"/>
      <c r="J344" s="54"/>
      <c r="K344" s="54"/>
      <c r="L344" s="54"/>
      <c r="M344" s="54"/>
      <c r="N344" s="54"/>
      <c r="O344" s="54"/>
      <c r="P344" s="54"/>
    </row>
    <row r="345" spans="1:16" ht="14.25" customHeight="1">
      <c r="A345" s="58"/>
      <c r="B345" s="69"/>
      <c r="C345" s="88"/>
      <c r="D345" s="88"/>
      <c r="E345" s="88"/>
      <c r="F345" s="88"/>
      <c r="G345" s="88"/>
      <c r="H345" s="88"/>
      <c r="I345" s="54"/>
      <c r="J345" s="54"/>
      <c r="K345" s="54"/>
      <c r="L345" s="54"/>
      <c r="M345" s="54"/>
      <c r="N345" s="54"/>
      <c r="O345" s="54"/>
      <c r="P345" s="54"/>
    </row>
    <row r="346" spans="1:16" ht="14.25" customHeight="1">
      <c r="A346" s="522" t="str">
        <f>IF('Copy &amp; Paste'!H12="","8.","9.")</f>
        <v>8.</v>
      </c>
      <c r="B346" s="69" t="s">
        <v>863</v>
      </c>
      <c r="C346" s="71"/>
      <c r="D346" s="71"/>
      <c r="E346" s="71"/>
      <c r="F346" s="71"/>
      <c r="G346" s="71"/>
      <c r="H346" s="71"/>
      <c r="I346" s="54"/>
      <c r="J346" s="54"/>
      <c r="K346" s="54"/>
      <c r="L346" s="54"/>
      <c r="M346" s="54"/>
      <c r="N346" s="54"/>
      <c r="O346" s="54"/>
      <c r="P346" s="54"/>
    </row>
    <row r="347" spans="1:16" ht="14.25" customHeight="1">
      <c r="A347" s="58"/>
      <c r="B347" s="69" t="s">
        <v>864</v>
      </c>
      <c r="C347" s="71"/>
      <c r="D347" s="71"/>
      <c r="E347" s="71"/>
      <c r="F347" s="71"/>
      <c r="G347" s="71"/>
      <c r="H347" s="71"/>
      <c r="I347" s="54"/>
      <c r="J347" s="54"/>
      <c r="K347" s="54"/>
      <c r="L347" s="54"/>
      <c r="M347" s="54"/>
      <c r="N347" s="54"/>
      <c r="O347" s="54"/>
      <c r="P347" s="54"/>
    </row>
    <row r="348" spans="1:16" ht="14.25" customHeight="1">
      <c r="A348" s="58"/>
      <c r="B348" s="69"/>
      <c r="C348" s="71"/>
      <c r="D348" s="71"/>
      <c r="E348" s="71"/>
      <c r="F348" s="71"/>
      <c r="G348" s="71"/>
      <c r="H348" s="71"/>
      <c r="I348" s="54"/>
      <c r="J348" s="54"/>
      <c r="K348" s="54"/>
      <c r="L348" s="54"/>
      <c r="M348" s="54"/>
      <c r="N348" s="54"/>
      <c r="O348" s="54"/>
      <c r="P348" s="54"/>
    </row>
    <row r="349" spans="1:16" ht="14.25" customHeight="1">
      <c r="A349" s="58"/>
      <c r="B349" s="69" t="s">
        <v>865</v>
      </c>
      <c r="C349" s="71"/>
      <c r="D349" s="71"/>
      <c r="E349" s="71"/>
      <c r="F349" s="71"/>
      <c r="G349" s="71"/>
      <c r="H349" s="71"/>
      <c r="I349" s="54"/>
      <c r="J349" s="54"/>
      <c r="K349" s="54"/>
      <c r="L349" s="54"/>
      <c r="M349" s="54"/>
      <c r="N349" s="54"/>
      <c r="O349" s="54"/>
      <c r="P349" s="54"/>
    </row>
    <row r="350" spans="1:16" ht="14.25" customHeight="1">
      <c r="A350" s="58"/>
      <c r="B350" s="69"/>
      <c r="C350" s="71"/>
      <c r="D350" s="71"/>
      <c r="E350" s="71"/>
      <c r="F350" s="71"/>
      <c r="G350" s="71"/>
      <c r="H350" s="71"/>
      <c r="I350" s="54"/>
      <c r="J350" s="89"/>
      <c r="K350" s="54"/>
      <c r="L350" s="54"/>
      <c r="M350" s="54"/>
      <c r="N350" s="54"/>
      <c r="O350" s="54"/>
      <c r="P350" s="54"/>
    </row>
    <row r="351" spans="1:16" ht="14.25">
      <c r="A351" s="522" t="str">
        <f>IF('Copy &amp; Paste'!H12="","9.","10.")</f>
        <v>9.</v>
      </c>
      <c r="B351" s="69" t="s">
        <v>866</v>
      </c>
      <c r="C351" s="71"/>
      <c r="D351" s="71"/>
      <c r="E351" s="71"/>
      <c r="F351" s="71"/>
      <c r="G351" s="71"/>
      <c r="H351" s="71"/>
      <c r="I351" s="54"/>
      <c r="J351" s="54"/>
      <c r="K351" s="54"/>
      <c r="L351" s="54"/>
      <c r="M351" s="54"/>
      <c r="N351" s="54"/>
      <c r="O351" s="54"/>
      <c r="P351" s="54"/>
    </row>
    <row r="352" spans="1:16" ht="14.25" customHeight="1">
      <c r="A352" s="58"/>
      <c r="B352" s="69" t="s">
        <v>867</v>
      </c>
      <c r="C352" s="71"/>
      <c r="D352" s="71"/>
      <c r="E352" s="71"/>
      <c r="F352" s="71"/>
      <c r="G352" s="71"/>
      <c r="H352" s="71"/>
      <c r="I352" s="54"/>
      <c r="J352" s="54"/>
      <c r="K352" s="54"/>
      <c r="L352" s="54"/>
      <c r="M352" s="54"/>
      <c r="N352" s="54"/>
      <c r="O352" s="54"/>
      <c r="P352" s="54"/>
    </row>
    <row r="353" spans="1:16" ht="14.25" customHeight="1">
      <c r="A353" s="58"/>
      <c r="B353" s="69" t="s">
        <v>868</v>
      </c>
      <c r="C353" s="71"/>
      <c r="D353" s="71"/>
      <c r="E353" s="71"/>
      <c r="F353" s="71"/>
      <c r="G353" s="71"/>
      <c r="H353" s="71"/>
      <c r="I353" s="54"/>
      <c r="J353" s="54"/>
      <c r="K353" s="54"/>
      <c r="L353" s="54"/>
      <c r="M353" s="54"/>
      <c r="N353" s="54"/>
      <c r="O353" s="54"/>
      <c r="P353" s="54"/>
    </row>
    <row r="354" spans="1:16" ht="14.25">
      <c r="A354" s="58"/>
      <c r="B354" s="69" t="s">
        <v>869</v>
      </c>
      <c r="C354" s="71"/>
      <c r="D354" s="71"/>
      <c r="E354" s="71"/>
      <c r="F354" s="71"/>
      <c r="G354" s="71"/>
      <c r="H354" s="71"/>
      <c r="I354" s="54"/>
      <c r="J354" s="54"/>
      <c r="K354" s="54"/>
      <c r="L354" s="54"/>
      <c r="M354" s="54"/>
      <c r="N354" s="54"/>
      <c r="O354" s="54"/>
      <c r="P354" s="54"/>
    </row>
    <row r="355" spans="1:16" ht="14.25" customHeight="1">
      <c r="A355" s="58"/>
      <c r="B355" s="69"/>
      <c r="C355" s="71"/>
      <c r="D355" s="71"/>
      <c r="E355" s="71"/>
      <c r="F355" s="71"/>
      <c r="G355" s="71"/>
      <c r="H355" s="71"/>
      <c r="I355" s="54"/>
      <c r="J355" s="54"/>
      <c r="K355" s="54"/>
      <c r="L355" s="54"/>
      <c r="M355" s="54"/>
      <c r="N355" s="54"/>
      <c r="O355" s="54"/>
      <c r="P355" s="54"/>
    </row>
    <row r="356" spans="1:16" ht="14.25" customHeight="1">
      <c r="A356" s="522" t="str">
        <f>IF('Copy &amp; Paste'!H12="","10.","11.")</f>
        <v>10.</v>
      </c>
      <c r="B356" s="69" t="s">
        <v>870</v>
      </c>
      <c r="C356" s="71"/>
      <c r="D356" s="71"/>
      <c r="E356" s="71"/>
      <c r="F356" s="71"/>
      <c r="G356" s="71"/>
      <c r="H356" s="71"/>
      <c r="I356" s="54"/>
      <c r="J356" s="54"/>
      <c r="K356" s="54"/>
      <c r="L356" s="54"/>
      <c r="M356" s="54"/>
      <c r="N356" s="54"/>
      <c r="O356" s="54"/>
      <c r="P356" s="54"/>
    </row>
    <row r="357" spans="1:16" ht="14.25" customHeight="1">
      <c r="A357" s="58"/>
      <c r="B357" s="69" t="s">
        <v>871</v>
      </c>
      <c r="C357" s="71"/>
      <c r="D357" s="71"/>
      <c r="E357" s="71"/>
      <c r="F357" s="71"/>
      <c r="G357" s="71"/>
      <c r="H357" s="71"/>
      <c r="I357" s="54"/>
      <c r="J357" s="54"/>
      <c r="K357" s="54"/>
      <c r="L357" s="54"/>
      <c r="M357" s="54"/>
      <c r="N357" s="54"/>
      <c r="O357" s="54"/>
      <c r="P357" s="54"/>
    </row>
    <row r="358" spans="1:16" ht="14.25" customHeight="1">
      <c r="A358" s="58"/>
      <c r="B358" s="69" t="s">
        <v>872</v>
      </c>
      <c r="C358" s="71"/>
      <c r="D358" s="71"/>
      <c r="E358" s="71"/>
      <c r="F358" s="71"/>
      <c r="G358" s="71"/>
      <c r="H358" s="71"/>
      <c r="I358" s="54"/>
      <c r="J358" s="54"/>
      <c r="K358" s="54"/>
      <c r="L358" s="54"/>
      <c r="M358" s="54"/>
      <c r="N358" s="54"/>
      <c r="O358" s="54"/>
      <c r="P358" s="54"/>
    </row>
    <row r="359" spans="1:16" ht="14.25" customHeight="1">
      <c r="A359" s="58"/>
      <c r="B359" s="69" t="s">
        <v>873</v>
      </c>
      <c r="C359" s="71"/>
      <c r="D359" s="71"/>
      <c r="E359" s="71"/>
      <c r="F359" s="71"/>
      <c r="G359" s="71"/>
      <c r="H359" s="71"/>
      <c r="I359" s="54"/>
      <c r="J359" s="54"/>
      <c r="K359" s="54"/>
      <c r="L359" s="54"/>
      <c r="M359" s="54"/>
      <c r="N359" s="54"/>
      <c r="O359" s="54"/>
      <c r="P359" s="54"/>
    </row>
    <row r="360" spans="1:16" ht="14.25" customHeight="1">
      <c r="A360" s="2745"/>
      <c r="B360" s="69"/>
      <c r="C360" s="2750"/>
      <c r="D360" s="2750"/>
      <c r="E360" s="2750"/>
      <c r="F360" s="2750"/>
      <c r="G360" s="2750"/>
      <c r="H360" s="2750"/>
      <c r="I360" s="54"/>
      <c r="J360" s="54"/>
      <c r="K360" s="54"/>
      <c r="L360" s="54"/>
      <c r="M360" s="54"/>
      <c r="N360" s="54"/>
      <c r="O360" s="54"/>
      <c r="P360" s="54"/>
    </row>
    <row r="361" spans="1:16" ht="14.25" customHeight="1">
      <c r="A361" s="4646" t="s">
        <v>319</v>
      </c>
      <c r="B361" s="4646"/>
      <c r="C361" s="4646"/>
      <c r="D361" s="4646"/>
      <c r="E361" s="4646"/>
      <c r="F361" s="4646"/>
      <c r="G361" s="4646"/>
      <c r="H361" s="4646"/>
      <c r="I361" s="4646"/>
      <c r="J361" s="54"/>
      <c r="K361" s="54"/>
      <c r="L361" s="54"/>
      <c r="M361" s="54"/>
      <c r="N361" s="54"/>
      <c r="O361" s="54"/>
      <c r="P361" s="54"/>
    </row>
    <row r="362" spans="1:16" ht="14.25" customHeight="1">
      <c r="A362" s="4646" t="s">
        <v>1633</v>
      </c>
      <c r="B362" s="4646"/>
      <c r="C362" s="4646"/>
      <c r="D362" s="4646"/>
      <c r="E362" s="4646"/>
      <c r="F362" s="4646"/>
      <c r="G362" s="4646"/>
      <c r="H362" s="4646"/>
      <c r="I362" s="4646"/>
      <c r="J362" s="54"/>
      <c r="K362" s="54"/>
      <c r="L362" s="54"/>
      <c r="M362" s="54"/>
      <c r="N362" s="54"/>
      <c r="O362" s="54"/>
      <c r="P362" s="54"/>
    </row>
    <row r="363" spans="1:16" ht="14.25" customHeight="1">
      <c r="A363" s="2745"/>
      <c r="B363" s="69"/>
      <c r="C363" s="2750"/>
      <c r="D363" s="2750"/>
      <c r="E363" s="2750"/>
      <c r="F363" s="2750"/>
      <c r="G363" s="2750"/>
      <c r="H363" s="2750"/>
      <c r="I363" s="54"/>
      <c r="J363" s="54"/>
      <c r="K363" s="54"/>
      <c r="L363" s="54"/>
      <c r="M363" s="54"/>
      <c r="N363" s="54"/>
      <c r="O363" s="54"/>
      <c r="P363" s="54"/>
    </row>
    <row r="364" spans="1:16" ht="14.25" customHeight="1">
      <c r="A364" s="2745" t="s">
        <v>79</v>
      </c>
      <c r="B364" s="69" t="s">
        <v>1637</v>
      </c>
      <c r="C364" s="2750"/>
      <c r="D364" s="2750"/>
      <c r="E364" s="2750"/>
      <c r="F364" s="2750"/>
      <c r="G364" s="2750"/>
      <c r="H364" s="2750"/>
      <c r="I364" s="54"/>
      <c r="J364" s="54"/>
      <c r="K364" s="54"/>
      <c r="L364" s="54"/>
      <c r="M364" s="54"/>
      <c r="N364" s="54"/>
      <c r="O364" s="54"/>
      <c r="P364" s="54"/>
    </row>
    <row r="365" spans="1:16" ht="14.25" customHeight="1">
      <c r="A365" s="2745"/>
      <c r="B365" s="69" t="s">
        <v>1639</v>
      </c>
      <c r="C365" s="2750"/>
      <c r="D365" s="2750"/>
      <c r="E365" s="2750"/>
      <c r="F365" s="2750"/>
      <c r="G365" s="2750"/>
      <c r="H365" s="2750"/>
      <c r="I365" s="54"/>
      <c r="J365" s="54"/>
      <c r="K365" s="54"/>
      <c r="L365" s="54"/>
      <c r="M365" s="54"/>
      <c r="N365" s="54"/>
      <c r="O365" s="54"/>
      <c r="P365" s="54"/>
    </row>
    <row r="366" spans="1:16" ht="14.25" customHeight="1">
      <c r="A366" s="2745"/>
      <c r="B366" s="69" t="s">
        <v>1638</v>
      </c>
      <c r="C366" s="2750"/>
      <c r="D366" s="2750"/>
      <c r="E366" s="2750"/>
      <c r="F366" s="2750"/>
      <c r="G366" s="2750"/>
      <c r="H366" s="2750"/>
      <c r="I366" s="54"/>
      <c r="J366" s="54"/>
      <c r="K366" s="54"/>
      <c r="L366" s="54"/>
      <c r="M366" s="54"/>
      <c r="N366" s="54"/>
      <c r="O366" s="54"/>
      <c r="P366" s="54"/>
    </row>
    <row r="367" spans="1:16" ht="14.25" customHeight="1">
      <c r="A367" s="2745"/>
      <c r="B367" s="69"/>
      <c r="C367" s="2750"/>
      <c r="D367" s="2750"/>
      <c r="E367" s="2750"/>
      <c r="F367" s="2750"/>
      <c r="G367" s="2750"/>
      <c r="H367" s="2750"/>
      <c r="I367" s="54"/>
      <c r="J367" s="54"/>
      <c r="K367" s="54"/>
      <c r="L367" s="54"/>
      <c r="M367" s="54"/>
      <c r="N367" s="54"/>
      <c r="O367" s="54"/>
      <c r="P367" s="54"/>
    </row>
    <row r="368" spans="1:16" ht="14.25" customHeight="1">
      <c r="A368" s="2745" t="s">
        <v>112</v>
      </c>
      <c r="B368" s="69" t="s">
        <v>1640</v>
      </c>
      <c r="C368" s="2750"/>
      <c r="D368" s="2750"/>
      <c r="E368" s="2750"/>
      <c r="F368" s="2750"/>
      <c r="G368" s="2750"/>
      <c r="H368" s="2750"/>
      <c r="I368" s="54"/>
      <c r="J368" s="54"/>
      <c r="K368" s="54"/>
      <c r="L368" s="54"/>
      <c r="M368" s="54"/>
      <c r="N368" s="54"/>
      <c r="O368" s="54"/>
      <c r="P368" s="54"/>
    </row>
    <row r="369" spans="1:16" ht="14.25" customHeight="1">
      <c r="A369" s="2745"/>
      <c r="B369" s="69"/>
      <c r="C369" s="2750"/>
      <c r="D369" s="2750"/>
      <c r="E369" s="2750"/>
      <c r="F369" s="2750"/>
      <c r="G369" s="2750"/>
      <c r="H369" s="2750"/>
      <c r="I369" s="54"/>
      <c r="J369" s="54"/>
      <c r="K369" s="54"/>
      <c r="L369" s="54"/>
      <c r="M369" s="54"/>
      <c r="N369" s="54"/>
      <c r="O369" s="54"/>
      <c r="P369" s="54"/>
    </row>
    <row r="370" spans="1:16" ht="14.25" customHeight="1">
      <c r="A370" s="2745"/>
      <c r="B370" s="69" t="s">
        <v>1700</v>
      </c>
      <c r="C370" s="2750"/>
      <c r="D370" s="2750"/>
      <c r="E370" s="2750"/>
      <c r="F370" s="2750"/>
      <c r="G370" s="2750"/>
      <c r="H370" s="2750"/>
      <c r="I370" s="54"/>
      <c r="J370" s="54"/>
      <c r="K370" s="54"/>
      <c r="L370" s="54"/>
      <c r="M370" s="54"/>
      <c r="N370" s="54"/>
      <c r="O370" s="54"/>
      <c r="P370" s="54"/>
    </row>
    <row r="371" spans="1:16" ht="14.25" customHeight="1">
      <c r="A371" s="2745"/>
      <c r="B371" s="69"/>
      <c r="C371" s="2750"/>
      <c r="D371" s="2750"/>
      <c r="E371" s="2750"/>
      <c r="F371" s="2750"/>
      <c r="G371" s="2750"/>
      <c r="H371" s="2750"/>
      <c r="I371" s="54"/>
      <c r="J371" s="54"/>
      <c r="K371" s="54"/>
      <c r="L371" s="54"/>
      <c r="M371" s="54"/>
      <c r="N371" s="54"/>
      <c r="O371" s="54"/>
      <c r="P371" s="54"/>
    </row>
    <row r="372" spans="1:16" ht="14.25" customHeight="1">
      <c r="A372" s="2745"/>
      <c r="B372" s="69" t="s">
        <v>1691</v>
      </c>
      <c r="C372" s="2750"/>
      <c r="D372" s="2750"/>
      <c r="E372" s="2750"/>
      <c r="F372" s="2750"/>
      <c r="G372" s="2750"/>
      <c r="H372" s="2750"/>
      <c r="I372" s="54"/>
      <c r="J372" s="54"/>
      <c r="K372" s="54"/>
      <c r="L372" s="54"/>
      <c r="M372" s="54"/>
      <c r="N372" s="54"/>
      <c r="O372" s="54"/>
      <c r="P372" s="54"/>
    </row>
    <row r="373" spans="1:16" ht="14.25" customHeight="1">
      <c r="A373" s="2745"/>
      <c r="B373" s="69" t="s">
        <v>1692</v>
      </c>
      <c r="C373" s="2750"/>
      <c r="D373" s="2750"/>
      <c r="E373" s="2750"/>
      <c r="F373" s="2750"/>
      <c r="G373" s="2750"/>
      <c r="H373" s="2750"/>
      <c r="I373" s="54"/>
      <c r="J373" s="54"/>
      <c r="K373" s="54"/>
      <c r="L373" s="54"/>
      <c r="M373" s="54"/>
      <c r="N373" s="54"/>
      <c r="O373" s="54"/>
      <c r="P373" s="54"/>
    </row>
    <row r="374" spans="1:16" ht="14.25" customHeight="1">
      <c r="A374" s="2745"/>
      <c r="B374" s="69"/>
      <c r="C374" s="2750"/>
      <c r="D374" s="2750"/>
      <c r="E374" s="2750"/>
      <c r="F374" s="2750"/>
      <c r="G374" s="2750"/>
      <c r="H374" s="2750"/>
      <c r="I374" s="54"/>
      <c r="J374" s="54"/>
      <c r="K374" s="54"/>
      <c r="L374" s="54"/>
      <c r="M374" s="54"/>
      <c r="N374" s="54"/>
      <c r="O374" s="54"/>
      <c r="P374" s="54"/>
    </row>
    <row r="375" spans="1:16" ht="14.25" customHeight="1">
      <c r="A375" s="2745"/>
      <c r="B375" s="69" t="s">
        <v>1641</v>
      </c>
      <c r="C375" s="2750"/>
      <c r="D375" s="2750"/>
      <c r="E375" s="2750"/>
      <c r="F375" s="2750"/>
      <c r="G375" s="2750"/>
      <c r="H375" s="2750"/>
      <c r="I375" s="54"/>
      <c r="J375" s="54"/>
      <c r="K375" s="54"/>
      <c r="L375" s="54"/>
      <c r="M375" s="54"/>
      <c r="N375" s="54"/>
      <c r="O375" s="54"/>
      <c r="P375" s="54"/>
    </row>
    <row r="376" spans="1:16" ht="14.25" customHeight="1">
      <c r="A376" s="2745"/>
      <c r="B376" s="69"/>
      <c r="C376" s="2750"/>
      <c r="D376" s="2750"/>
      <c r="E376" s="2750"/>
      <c r="F376" s="2750"/>
      <c r="G376" s="2750"/>
      <c r="H376" s="2750"/>
      <c r="I376" s="54"/>
      <c r="J376" s="54"/>
      <c r="K376" s="54"/>
      <c r="L376" s="54"/>
      <c r="M376" s="54"/>
      <c r="N376" s="54"/>
      <c r="O376" s="54"/>
      <c r="P376" s="54"/>
    </row>
    <row r="377" spans="1:16" ht="14.25" customHeight="1">
      <c r="A377" s="2745"/>
      <c r="B377" s="69" t="s">
        <v>1642</v>
      </c>
      <c r="C377" s="2750"/>
      <c r="D377" s="2750"/>
      <c r="E377" s="2750"/>
      <c r="F377" s="2750"/>
      <c r="G377" s="2750"/>
      <c r="H377" s="2750"/>
      <c r="I377" s="54"/>
      <c r="J377" s="54"/>
      <c r="K377" s="54"/>
      <c r="L377" s="54"/>
      <c r="M377" s="54"/>
      <c r="N377" s="54"/>
      <c r="O377" s="54"/>
      <c r="P377" s="54"/>
    </row>
    <row r="378" spans="1:16" ht="14.25" customHeight="1">
      <c r="A378" s="2745"/>
      <c r="B378" s="69" t="s">
        <v>1643</v>
      </c>
      <c r="C378" s="2750"/>
      <c r="D378" s="2750"/>
      <c r="E378" s="2750"/>
      <c r="F378" s="2750"/>
      <c r="G378" s="2750"/>
      <c r="H378" s="2750"/>
      <c r="I378" s="54"/>
      <c r="J378" s="54"/>
      <c r="K378" s="54"/>
      <c r="L378" s="54"/>
      <c r="M378" s="54"/>
      <c r="N378" s="54"/>
      <c r="O378" s="54"/>
      <c r="P378" s="54"/>
    </row>
    <row r="379" spans="1:16" ht="14.25" customHeight="1">
      <c r="A379" s="2745"/>
      <c r="B379" s="69" t="s">
        <v>1644</v>
      </c>
      <c r="C379" s="2750"/>
      <c r="D379" s="2750"/>
      <c r="E379" s="2750"/>
      <c r="F379" s="2750"/>
      <c r="G379" s="2750"/>
      <c r="H379" s="2750"/>
      <c r="I379" s="54"/>
      <c r="J379" s="54"/>
      <c r="K379" s="54"/>
      <c r="L379" s="54"/>
      <c r="M379" s="54"/>
      <c r="N379" s="54"/>
      <c r="O379" s="54"/>
      <c r="P379" s="54"/>
    </row>
    <row r="380" spans="1:16" ht="14.25" customHeight="1">
      <c r="A380" s="2745"/>
      <c r="B380" s="69" t="s">
        <v>1645</v>
      </c>
      <c r="C380" s="2750"/>
      <c r="D380" s="2750"/>
      <c r="E380" s="2750"/>
      <c r="F380" s="2750"/>
      <c r="G380" s="2750"/>
      <c r="H380" s="2750"/>
      <c r="I380" s="54"/>
      <c r="J380" s="54"/>
      <c r="K380" s="54"/>
      <c r="L380" s="54"/>
      <c r="M380" s="54"/>
      <c r="N380" s="54"/>
      <c r="O380" s="54"/>
      <c r="P380" s="54"/>
    </row>
    <row r="381" spans="1:16" ht="14.25" customHeight="1">
      <c r="A381" s="2745"/>
      <c r="B381" s="69" t="s">
        <v>1693</v>
      </c>
      <c r="C381" s="2750"/>
      <c r="D381" s="2750"/>
      <c r="E381" s="2750"/>
      <c r="F381" s="2750"/>
      <c r="G381" s="2750"/>
      <c r="H381" s="2750"/>
      <c r="I381" s="54"/>
      <c r="J381" s="54"/>
      <c r="K381" s="54"/>
      <c r="L381" s="54"/>
      <c r="M381" s="54"/>
      <c r="N381" s="54"/>
      <c r="O381" s="54"/>
      <c r="P381" s="54"/>
    </row>
    <row r="382" spans="1:16" ht="14.25" customHeight="1">
      <c r="A382" s="2745"/>
      <c r="B382" s="69" t="s">
        <v>1646</v>
      </c>
      <c r="C382" s="2750"/>
      <c r="D382" s="2750"/>
      <c r="E382" s="2750"/>
      <c r="F382" s="2750"/>
      <c r="G382" s="2750"/>
      <c r="H382" s="2750"/>
      <c r="I382" s="54"/>
      <c r="J382" s="54"/>
      <c r="K382" s="54"/>
      <c r="L382" s="54"/>
      <c r="M382" s="54"/>
      <c r="N382" s="54"/>
      <c r="O382" s="54"/>
      <c r="P382" s="54"/>
    </row>
    <row r="383" spans="1:16" ht="14.25" customHeight="1">
      <c r="A383" s="2745"/>
      <c r="B383" s="69" t="s">
        <v>1694</v>
      </c>
      <c r="C383" s="2750"/>
      <c r="D383" s="2750"/>
      <c r="E383" s="2750"/>
      <c r="F383" s="2750"/>
      <c r="G383" s="2750"/>
      <c r="H383" s="2750"/>
      <c r="I383" s="54"/>
      <c r="J383" s="54"/>
      <c r="K383" s="54"/>
      <c r="L383" s="54"/>
      <c r="M383" s="54"/>
      <c r="N383" s="54"/>
      <c r="O383" s="54"/>
      <c r="P383" s="54"/>
    </row>
    <row r="384" spans="1:16" ht="14.25" customHeight="1">
      <c r="A384" s="2745"/>
      <c r="B384" s="69" t="s">
        <v>1647</v>
      </c>
      <c r="C384" s="2750"/>
      <c r="D384" s="2750"/>
      <c r="E384" s="2750"/>
      <c r="F384" s="2750"/>
      <c r="G384" s="2750"/>
      <c r="H384" s="2750"/>
      <c r="I384" s="54"/>
      <c r="J384" s="54"/>
      <c r="K384" s="54"/>
      <c r="L384" s="54"/>
      <c r="M384" s="54"/>
      <c r="N384" s="54"/>
      <c r="O384" s="54"/>
      <c r="P384" s="54"/>
    </row>
    <row r="385" spans="1:16" ht="14.25" customHeight="1">
      <c r="A385" s="2745"/>
      <c r="B385" s="69" t="s">
        <v>1648</v>
      </c>
      <c r="C385" s="2750"/>
      <c r="D385" s="2750"/>
      <c r="E385" s="2750"/>
      <c r="F385" s="2750"/>
      <c r="G385" s="2750"/>
      <c r="H385" s="2750"/>
      <c r="I385" s="54"/>
      <c r="J385" s="54"/>
      <c r="K385" s="54"/>
      <c r="L385" s="54"/>
      <c r="M385" s="54"/>
      <c r="N385" s="54"/>
      <c r="O385" s="54"/>
      <c r="P385" s="54"/>
    </row>
    <row r="386" spans="1:16" ht="14.25" customHeight="1">
      <c r="A386" s="2745"/>
      <c r="B386" s="69"/>
      <c r="C386" s="2750"/>
      <c r="D386" s="2750"/>
      <c r="E386" s="2750"/>
      <c r="F386" s="2750"/>
      <c r="G386" s="2750"/>
      <c r="H386" s="2750"/>
      <c r="I386" s="54"/>
      <c r="J386" s="54"/>
      <c r="K386" s="54"/>
      <c r="L386" s="54"/>
      <c r="M386" s="54"/>
      <c r="N386" s="54"/>
      <c r="O386" s="54"/>
      <c r="P386" s="54"/>
    </row>
    <row r="387" spans="1:16" ht="14.25" customHeight="1">
      <c r="A387" s="4645" t="s">
        <v>1485</v>
      </c>
      <c r="B387" s="4645"/>
      <c r="C387" s="4645"/>
      <c r="D387" s="4645"/>
      <c r="E387" s="4645"/>
      <c r="F387" s="4645"/>
      <c r="G387" s="4645"/>
      <c r="H387" s="4645"/>
      <c r="I387" s="4645"/>
      <c r="J387" s="54"/>
      <c r="K387" s="54"/>
      <c r="L387" s="54"/>
      <c r="M387" s="54"/>
      <c r="N387" s="54"/>
      <c r="O387" s="54"/>
      <c r="P387" s="54"/>
    </row>
    <row r="388" spans="1:16" ht="14.25" customHeight="1">
      <c r="A388" s="2745"/>
      <c r="B388" s="69"/>
      <c r="C388" s="2750"/>
      <c r="D388" s="2750"/>
      <c r="E388" s="2750"/>
      <c r="F388" s="2750"/>
      <c r="G388" s="2750"/>
      <c r="H388" s="2750"/>
      <c r="I388" s="54"/>
      <c r="J388" s="54"/>
      <c r="K388" s="54"/>
      <c r="L388" s="54"/>
      <c r="M388" s="54"/>
      <c r="N388" s="54"/>
      <c r="O388" s="54"/>
      <c r="P388" s="54"/>
    </row>
    <row r="389" spans="1:16" ht="14.25" customHeight="1">
      <c r="A389" s="2745" t="s">
        <v>113</v>
      </c>
      <c r="B389" s="69" t="s">
        <v>1649</v>
      </c>
      <c r="C389" s="2750"/>
      <c r="D389" s="2750"/>
      <c r="E389" s="2750"/>
      <c r="F389" s="2750"/>
      <c r="G389" s="2750"/>
      <c r="H389" s="2750"/>
      <c r="I389" s="54"/>
      <c r="J389" s="54"/>
      <c r="K389" s="54"/>
      <c r="L389" s="54"/>
      <c r="M389" s="54"/>
      <c r="N389" s="54"/>
      <c r="O389" s="54"/>
      <c r="P389" s="54"/>
    </row>
    <row r="390" spans="1:16" ht="14.25" customHeight="1">
      <c r="A390" s="2745"/>
      <c r="B390" s="69"/>
      <c r="C390" s="2750"/>
      <c r="D390" s="2750"/>
      <c r="E390" s="2750"/>
      <c r="F390" s="2750"/>
      <c r="G390" s="2750"/>
      <c r="H390" s="2750"/>
      <c r="I390" s="54"/>
      <c r="J390" s="54"/>
      <c r="K390" s="54"/>
      <c r="L390" s="54"/>
      <c r="M390" s="54"/>
      <c r="N390" s="54"/>
      <c r="O390" s="54"/>
      <c r="P390" s="54"/>
    </row>
    <row r="391" spans="1:16" ht="14.25" customHeight="1">
      <c r="A391" s="2745"/>
      <c r="B391" s="2823" t="s">
        <v>1650</v>
      </c>
      <c r="C391" s="2750"/>
      <c r="D391" s="2750"/>
      <c r="E391" s="2750"/>
      <c r="F391" s="2750"/>
      <c r="G391" s="2750"/>
      <c r="H391" s="2750"/>
      <c r="I391" s="54"/>
      <c r="J391" s="54"/>
      <c r="K391" s="54"/>
      <c r="L391" s="54"/>
      <c r="M391" s="54"/>
      <c r="N391" s="54"/>
      <c r="O391" s="54"/>
      <c r="P391" s="54"/>
    </row>
    <row r="392" spans="1:16" ht="14.25" customHeight="1">
      <c r="A392" s="2745"/>
      <c r="B392" s="2824" t="s">
        <v>1653</v>
      </c>
      <c r="C392" s="2750"/>
      <c r="D392" s="2750"/>
      <c r="E392" s="2750"/>
      <c r="F392" s="2750"/>
      <c r="G392" s="2750"/>
      <c r="H392" s="2750"/>
      <c r="I392" s="54"/>
      <c r="J392" s="54"/>
      <c r="K392" s="54"/>
      <c r="L392" s="54"/>
      <c r="M392" s="54"/>
      <c r="N392" s="54"/>
      <c r="O392" s="54"/>
      <c r="P392" s="54"/>
    </row>
    <row r="393" spans="1:16" ht="14.25" customHeight="1">
      <c r="A393" s="2745"/>
      <c r="B393" s="2824" t="s">
        <v>1695</v>
      </c>
      <c r="C393" s="2750"/>
      <c r="D393" s="2750"/>
      <c r="E393" s="2750"/>
      <c r="F393" s="2750"/>
      <c r="G393" s="2750"/>
      <c r="H393" s="2750"/>
      <c r="I393" s="54"/>
      <c r="J393" s="54"/>
      <c r="K393" s="54"/>
      <c r="L393" s="54"/>
      <c r="M393" s="54"/>
      <c r="N393" s="54"/>
      <c r="O393" s="54"/>
      <c r="P393" s="54"/>
    </row>
    <row r="394" spans="1:16" ht="14.25" customHeight="1">
      <c r="A394" s="2745"/>
      <c r="B394" s="2824" t="s">
        <v>1652</v>
      </c>
      <c r="C394" s="2750"/>
      <c r="D394" s="2750"/>
      <c r="E394" s="2750"/>
      <c r="F394" s="2750"/>
      <c r="G394" s="2750"/>
      <c r="H394" s="2750"/>
      <c r="I394" s="54"/>
      <c r="J394" s="54"/>
      <c r="K394" s="54"/>
      <c r="L394" s="54"/>
      <c r="M394" s="54"/>
      <c r="N394" s="54"/>
      <c r="O394" s="54"/>
      <c r="P394" s="54"/>
    </row>
    <row r="395" spans="1:16" ht="14.25" customHeight="1">
      <c r="A395" s="2745"/>
      <c r="B395" s="69"/>
      <c r="C395" s="2750"/>
      <c r="D395" s="2750"/>
      <c r="E395" s="2750"/>
      <c r="F395" s="2750"/>
      <c r="G395" s="2750"/>
      <c r="H395" s="2750"/>
      <c r="I395" s="54"/>
      <c r="J395" s="54"/>
      <c r="K395" s="54"/>
      <c r="L395" s="54"/>
      <c r="M395" s="54"/>
      <c r="N395" s="54"/>
      <c r="O395" s="54"/>
      <c r="P395" s="54"/>
    </row>
    <row r="396" spans="1:16" ht="14.25" customHeight="1">
      <c r="A396" s="2745"/>
      <c r="B396" s="69" t="s">
        <v>1651</v>
      </c>
      <c r="C396" s="2750"/>
      <c r="D396" s="2750"/>
      <c r="E396" s="2750"/>
      <c r="F396" s="2750"/>
      <c r="G396" s="2750"/>
      <c r="H396" s="2750"/>
      <c r="I396" s="54"/>
      <c r="J396" s="54"/>
      <c r="K396" s="54"/>
      <c r="L396" s="54"/>
      <c r="M396" s="54"/>
      <c r="N396" s="54"/>
      <c r="O396" s="54"/>
      <c r="P396" s="54"/>
    </row>
    <row r="397" spans="1:16" ht="14.25" customHeight="1">
      <c r="A397" s="2745"/>
      <c r="B397" s="69"/>
      <c r="C397" s="2750"/>
      <c r="D397" s="2750"/>
      <c r="E397" s="2750"/>
      <c r="F397" s="2750"/>
      <c r="G397" s="2750"/>
      <c r="H397" s="2750"/>
      <c r="I397" s="54"/>
      <c r="J397" s="54"/>
      <c r="K397" s="54"/>
      <c r="L397" s="54"/>
      <c r="M397" s="54"/>
      <c r="N397" s="54"/>
      <c r="O397" s="54"/>
      <c r="P397" s="54"/>
    </row>
    <row r="398" spans="1:16" ht="14.25" customHeight="1">
      <c r="A398" s="2745" t="s">
        <v>279</v>
      </c>
      <c r="B398" s="69" t="s">
        <v>1654</v>
      </c>
      <c r="C398" s="2750"/>
      <c r="D398" s="2750"/>
      <c r="E398" s="2750"/>
      <c r="F398" s="2750"/>
      <c r="G398" s="2750"/>
      <c r="H398" s="2750"/>
      <c r="I398" s="54"/>
      <c r="J398" s="54"/>
      <c r="K398" s="54"/>
      <c r="L398" s="54"/>
      <c r="M398" s="54"/>
      <c r="N398" s="54"/>
      <c r="O398" s="54"/>
      <c r="P398" s="54"/>
    </row>
    <row r="399" spans="1:16" ht="14.25" customHeight="1">
      <c r="A399" s="2745"/>
      <c r="B399" s="69" t="s">
        <v>1696</v>
      </c>
      <c r="C399" s="2750"/>
      <c r="D399" s="2750"/>
      <c r="E399" s="2750"/>
      <c r="F399" s="2750"/>
      <c r="G399" s="2750"/>
      <c r="H399" s="2750"/>
      <c r="I399" s="54"/>
      <c r="J399" s="54"/>
      <c r="K399" s="54"/>
      <c r="L399" s="54"/>
      <c r="M399" s="54"/>
      <c r="N399" s="54"/>
      <c r="O399" s="54"/>
      <c r="P399" s="54"/>
    </row>
    <row r="400" spans="1:16" ht="14.25" customHeight="1">
      <c r="A400" s="2745"/>
      <c r="B400" s="69"/>
      <c r="C400" s="2750"/>
      <c r="D400" s="2750"/>
      <c r="E400" s="2750"/>
      <c r="F400" s="2750"/>
      <c r="G400" s="2750"/>
      <c r="H400" s="2750"/>
      <c r="I400" s="54"/>
      <c r="J400" s="54"/>
      <c r="K400" s="54"/>
      <c r="L400" s="54"/>
      <c r="M400" s="54"/>
      <c r="N400" s="54"/>
      <c r="O400" s="54"/>
      <c r="P400" s="54"/>
    </row>
    <row r="401" spans="1:16" ht="14.25" customHeight="1">
      <c r="A401" s="2745" t="s">
        <v>317</v>
      </c>
      <c r="B401" s="69" t="s">
        <v>1655</v>
      </c>
      <c r="C401" s="2750"/>
      <c r="D401" s="2750"/>
      <c r="E401" s="2750"/>
      <c r="F401" s="2750"/>
      <c r="G401" s="2750"/>
      <c r="H401" s="2750"/>
      <c r="I401" s="54"/>
      <c r="J401" s="54"/>
      <c r="K401" s="54"/>
      <c r="L401" s="54"/>
      <c r="M401" s="54"/>
      <c r="N401" s="54"/>
      <c r="O401" s="54"/>
      <c r="P401" s="54"/>
    </row>
    <row r="402" spans="1:16" ht="14.25" customHeight="1">
      <c r="A402" s="2745"/>
      <c r="B402" s="69" t="s">
        <v>1656</v>
      </c>
      <c r="C402" s="2750"/>
      <c r="D402" s="2750"/>
      <c r="E402" s="2750"/>
      <c r="F402" s="2750"/>
      <c r="G402" s="2750"/>
      <c r="H402" s="2750"/>
      <c r="I402" s="54"/>
      <c r="J402" s="54"/>
      <c r="K402" s="54"/>
      <c r="L402" s="54"/>
      <c r="M402" s="54"/>
      <c r="N402" s="54"/>
      <c r="O402" s="54"/>
      <c r="P402" s="54"/>
    </row>
    <row r="403" spans="1:16" ht="14.25" customHeight="1">
      <c r="A403" s="2745"/>
      <c r="B403" s="69" t="s">
        <v>1657</v>
      </c>
      <c r="C403" s="2750"/>
      <c r="D403" s="2750"/>
      <c r="E403" s="2750"/>
      <c r="F403" s="2750"/>
      <c r="G403" s="2750"/>
      <c r="H403" s="2750"/>
      <c r="I403" s="54"/>
      <c r="J403" s="54"/>
      <c r="K403" s="54"/>
      <c r="L403" s="54"/>
      <c r="M403" s="54"/>
      <c r="N403" s="54"/>
      <c r="O403" s="54"/>
      <c r="P403" s="54"/>
    </row>
    <row r="404" spans="1:16" ht="14.25" customHeight="1">
      <c r="A404" s="2745"/>
      <c r="B404" s="69"/>
      <c r="C404" s="2750"/>
      <c r="D404" s="2750"/>
      <c r="E404" s="2750"/>
      <c r="F404" s="2750"/>
      <c r="G404" s="2750"/>
      <c r="H404" s="2750"/>
      <c r="I404" s="54"/>
      <c r="J404" s="54"/>
      <c r="K404" s="54"/>
      <c r="L404" s="54"/>
      <c r="M404" s="54"/>
      <c r="N404" s="54"/>
      <c r="O404" s="54"/>
      <c r="P404" s="54"/>
    </row>
    <row r="405" spans="1:16" ht="14.25" customHeight="1">
      <c r="A405" s="2745" t="s">
        <v>855</v>
      </c>
      <c r="B405" s="69" t="s">
        <v>1658</v>
      </c>
      <c r="C405" s="2750"/>
      <c r="D405" s="2750"/>
      <c r="E405" s="2750"/>
      <c r="F405" s="2750"/>
      <c r="G405" s="2750"/>
      <c r="H405" s="2750"/>
      <c r="I405" s="54"/>
      <c r="J405" s="54"/>
      <c r="K405" s="54"/>
      <c r="L405" s="54"/>
      <c r="M405" s="54"/>
      <c r="N405" s="54"/>
      <c r="O405" s="54"/>
      <c r="P405" s="54"/>
    </row>
    <row r="406" spans="1:16" ht="14.25" customHeight="1">
      <c r="A406" s="2745"/>
      <c r="B406" s="69" t="s">
        <v>1659</v>
      </c>
      <c r="C406" s="2750"/>
      <c r="D406" s="2750"/>
      <c r="E406" s="2750"/>
      <c r="F406" s="2750"/>
      <c r="G406" s="2750"/>
      <c r="H406" s="2750"/>
      <c r="I406" s="54"/>
      <c r="J406" s="54"/>
      <c r="K406" s="54"/>
      <c r="L406" s="54"/>
      <c r="M406" s="54"/>
      <c r="N406" s="54"/>
      <c r="O406" s="54"/>
      <c r="P406" s="54"/>
    </row>
    <row r="407" spans="1:16" ht="14.25" customHeight="1">
      <c r="A407" s="2745"/>
      <c r="B407" s="69"/>
      <c r="C407" s="2750"/>
      <c r="D407" s="2750"/>
      <c r="E407" s="2750"/>
      <c r="F407" s="2750"/>
      <c r="G407" s="2750"/>
      <c r="H407" s="2750"/>
      <c r="I407" s="54"/>
      <c r="J407" s="54"/>
      <c r="K407" s="54"/>
      <c r="L407" s="54"/>
      <c r="M407" s="54"/>
      <c r="N407" s="54"/>
      <c r="O407" s="54"/>
      <c r="P407" s="54"/>
    </row>
    <row r="408" spans="1:16" ht="14.25" customHeight="1">
      <c r="A408" s="4697" t="str">
        <f>'84 9 Nachweis'!O35</f>
        <v/>
      </c>
      <c r="B408" s="4697"/>
      <c r="C408" s="4697"/>
      <c r="D408" s="4697"/>
      <c r="E408" s="4697"/>
      <c r="F408" s="4697"/>
      <c r="G408" s="4697"/>
      <c r="H408" s="4697"/>
      <c r="I408" s="4697"/>
      <c r="J408" s="54"/>
      <c r="K408" s="54"/>
      <c r="L408" s="54"/>
      <c r="M408" s="54"/>
      <c r="N408" s="54"/>
      <c r="O408" s="54"/>
      <c r="P408" s="54"/>
    </row>
    <row r="409" spans="1:16" ht="14.25" customHeight="1">
      <c r="A409" s="2745"/>
      <c r="B409" s="69"/>
      <c r="C409" s="2750"/>
      <c r="D409" s="2750"/>
      <c r="E409" s="2750"/>
      <c r="F409" s="2750"/>
      <c r="G409" s="2750"/>
      <c r="H409" s="2750"/>
      <c r="I409" s="54"/>
      <c r="J409" s="54"/>
      <c r="K409" s="54"/>
      <c r="L409" s="54"/>
      <c r="M409" s="54"/>
      <c r="N409" s="54"/>
      <c r="O409" s="54"/>
      <c r="P409" s="54"/>
    </row>
    <row r="410" spans="1:16" ht="14.25" customHeight="1">
      <c r="A410" s="2745"/>
      <c r="B410" s="69" t="s">
        <v>1660</v>
      </c>
      <c r="C410" s="2750"/>
      <c r="D410" s="2750"/>
      <c r="E410" s="2750"/>
      <c r="F410" s="2750"/>
      <c r="G410" s="2750"/>
      <c r="H410" s="2750"/>
      <c r="I410" s="54"/>
      <c r="J410" s="54"/>
      <c r="K410" s="54"/>
      <c r="L410" s="54"/>
      <c r="M410" s="54"/>
      <c r="N410" s="54"/>
      <c r="O410" s="54"/>
      <c r="P410" s="54"/>
    </row>
    <row r="411" spans="1:16" ht="14.25" customHeight="1">
      <c r="A411" s="2745"/>
      <c r="B411" s="69"/>
      <c r="C411" s="2750"/>
      <c r="D411" s="2750"/>
      <c r="E411" s="2750"/>
      <c r="F411" s="2750"/>
      <c r="G411" s="2750"/>
      <c r="H411" s="2750"/>
      <c r="I411" s="54"/>
      <c r="J411" s="54"/>
      <c r="K411" s="54"/>
      <c r="L411" s="54"/>
      <c r="M411" s="54"/>
      <c r="N411" s="54"/>
      <c r="O411" s="54"/>
      <c r="P411" s="54"/>
    </row>
    <row r="412" spans="1:16" ht="14.25" customHeight="1">
      <c r="A412" s="2745"/>
      <c r="B412" s="69" t="s">
        <v>1661</v>
      </c>
      <c r="C412" s="2750"/>
      <c r="D412" s="2750"/>
      <c r="E412" s="2750"/>
      <c r="F412" s="2750"/>
      <c r="G412" s="2750"/>
      <c r="H412" s="2750"/>
      <c r="I412" s="54"/>
      <c r="J412" s="54"/>
      <c r="K412" s="54"/>
      <c r="L412" s="54"/>
      <c r="M412" s="54"/>
      <c r="N412" s="54"/>
      <c r="O412" s="54"/>
      <c r="P412" s="54"/>
    </row>
    <row r="413" spans="1:16" ht="14.25" customHeight="1">
      <c r="A413" s="2745"/>
      <c r="B413" s="69" t="s">
        <v>1662</v>
      </c>
      <c r="C413" s="2750"/>
      <c r="D413" s="2750"/>
      <c r="E413" s="2750"/>
      <c r="F413" s="2750"/>
      <c r="G413" s="2750"/>
      <c r="H413" s="2750"/>
      <c r="I413" s="54"/>
      <c r="J413" s="54"/>
      <c r="K413" s="54"/>
      <c r="L413" s="54"/>
      <c r="M413" s="54"/>
      <c r="N413" s="54"/>
      <c r="O413" s="54"/>
      <c r="P413" s="54"/>
    </row>
    <row r="414" spans="1:16" ht="14.25" customHeight="1">
      <c r="A414" s="2745"/>
      <c r="B414" s="69" t="s">
        <v>1663</v>
      </c>
      <c r="C414" s="2750"/>
      <c r="D414" s="2750"/>
      <c r="E414" s="2750"/>
      <c r="F414" s="2750"/>
      <c r="G414" s="2750"/>
      <c r="H414" s="2750"/>
      <c r="I414" s="54"/>
      <c r="J414" s="54"/>
      <c r="K414" s="54"/>
      <c r="L414" s="54"/>
      <c r="M414" s="54"/>
      <c r="N414" s="54"/>
      <c r="O414" s="54"/>
      <c r="P414" s="54"/>
    </row>
    <row r="415" spans="1:16" ht="14.25" customHeight="1">
      <c r="A415" s="2745"/>
      <c r="B415" s="69"/>
      <c r="C415" s="2750"/>
      <c r="D415" s="2750"/>
      <c r="E415" s="2750"/>
      <c r="F415" s="2750"/>
      <c r="G415" s="2750"/>
      <c r="H415" s="2750"/>
      <c r="I415" s="54"/>
      <c r="J415" s="54"/>
      <c r="K415" s="54"/>
      <c r="L415" s="54"/>
      <c r="M415" s="54"/>
      <c r="N415" s="54"/>
      <c r="O415" s="54"/>
      <c r="P415" s="54"/>
    </row>
    <row r="416" spans="1:16" ht="14.25" customHeight="1">
      <c r="A416" s="2745" t="s">
        <v>858</v>
      </c>
      <c r="B416" s="69" t="s">
        <v>1664</v>
      </c>
      <c r="C416" s="2750"/>
      <c r="D416" s="2750"/>
      <c r="E416" s="2750"/>
      <c r="F416" s="2750"/>
      <c r="G416" s="2750"/>
      <c r="H416" s="2750"/>
      <c r="I416" s="54"/>
      <c r="J416" s="54"/>
      <c r="K416" s="54"/>
      <c r="L416" s="54"/>
      <c r="M416" s="54"/>
      <c r="N416" s="54"/>
      <c r="O416" s="54"/>
      <c r="P416" s="54"/>
    </row>
    <row r="417" spans="1:16" ht="14.25" customHeight="1">
      <c r="A417" s="2745"/>
      <c r="B417" s="69" t="s">
        <v>1665</v>
      </c>
      <c r="C417" s="2750"/>
      <c r="D417" s="2750"/>
      <c r="E417" s="2750"/>
      <c r="F417" s="2750"/>
      <c r="G417" s="2750"/>
      <c r="H417" s="2750"/>
      <c r="I417" s="54"/>
      <c r="J417" s="54"/>
      <c r="K417" s="54"/>
      <c r="L417" s="54"/>
      <c r="M417" s="54"/>
      <c r="N417" s="54"/>
      <c r="O417" s="54"/>
      <c r="P417" s="54"/>
    </row>
    <row r="418" spans="1:16" ht="14.25" customHeight="1">
      <c r="A418" s="2745"/>
      <c r="B418" s="69"/>
      <c r="C418" s="2750"/>
      <c r="D418" s="2750"/>
      <c r="E418" s="2750"/>
      <c r="F418" s="2750"/>
      <c r="G418" s="2750"/>
      <c r="H418" s="2750"/>
      <c r="I418" s="54"/>
      <c r="J418" s="54"/>
      <c r="K418" s="54"/>
      <c r="L418" s="54"/>
      <c r="M418" s="54"/>
      <c r="N418" s="54"/>
      <c r="O418" s="54"/>
      <c r="P418" s="54"/>
    </row>
    <row r="419" spans="1:16" ht="14.25" customHeight="1">
      <c r="A419" s="4696" t="e">
        <f>FIXED('84 9 Nachweis'!S40,2)&amp;" €."</f>
        <v>#VALUE!</v>
      </c>
      <c r="B419" s="4696"/>
      <c r="C419" s="4696"/>
      <c r="D419" s="4696"/>
      <c r="E419" s="4696"/>
      <c r="F419" s="4696"/>
      <c r="G419" s="4696"/>
      <c r="H419" s="4696"/>
      <c r="I419" s="4696"/>
      <c r="J419" s="54"/>
      <c r="K419" s="54"/>
      <c r="L419" s="54"/>
      <c r="M419" s="54"/>
      <c r="N419" s="54"/>
      <c r="O419" s="54"/>
      <c r="P419" s="54"/>
    </row>
    <row r="420" spans="1:16" ht="14.25" customHeight="1">
      <c r="A420" s="2745"/>
      <c r="B420" s="69"/>
      <c r="C420" s="2750"/>
      <c r="D420" s="2750"/>
      <c r="E420" s="2750"/>
      <c r="F420" s="2750"/>
      <c r="G420" s="2750"/>
      <c r="H420" s="2750"/>
      <c r="I420" s="54"/>
      <c r="J420" s="54"/>
      <c r="K420" s="54"/>
      <c r="L420" s="54"/>
      <c r="M420" s="54"/>
      <c r="N420" s="54"/>
      <c r="O420" s="54"/>
      <c r="P420" s="54"/>
    </row>
    <row r="421" spans="1:16" ht="14.25" customHeight="1">
      <c r="A421" s="2745"/>
      <c r="B421" s="69" t="s">
        <v>955</v>
      </c>
      <c r="C421" s="2750"/>
      <c r="D421" s="2750"/>
      <c r="E421" s="2750"/>
      <c r="F421" s="2750"/>
      <c r="G421" s="2750"/>
      <c r="H421" s="2750"/>
      <c r="I421" s="54"/>
      <c r="J421" s="54"/>
      <c r="K421" s="54"/>
      <c r="L421" s="54"/>
      <c r="M421" s="54"/>
      <c r="N421" s="54"/>
      <c r="O421" s="54"/>
      <c r="P421" s="54"/>
    </row>
    <row r="422" spans="1:16" ht="14.25" customHeight="1">
      <c r="A422" s="2745"/>
      <c r="B422" s="69" t="s">
        <v>1666</v>
      </c>
      <c r="C422" s="2750"/>
      <c r="D422" s="2750"/>
      <c r="E422" s="2750"/>
      <c r="F422" s="2750"/>
      <c r="G422" s="2750"/>
      <c r="H422" s="2750"/>
      <c r="I422" s="54"/>
      <c r="J422" s="54"/>
      <c r="K422" s="54"/>
      <c r="L422" s="54"/>
      <c r="M422" s="54"/>
      <c r="N422" s="54"/>
      <c r="O422" s="54"/>
      <c r="P422" s="54"/>
    </row>
    <row r="423" spans="1:16" ht="14.25" customHeight="1">
      <c r="A423" s="2745"/>
      <c r="B423" s="69" t="s">
        <v>1697</v>
      </c>
      <c r="C423" s="2750"/>
      <c r="D423" s="2750"/>
      <c r="E423" s="2750"/>
      <c r="F423" s="2750"/>
      <c r="G423" s="2750"/>
      <c r="H423" s="2750"/>
      <c r="I423" s="54"/>
      <c r="J423" s="54"/>
      <c r="K423" s="54"/>
      <c r="L423" s="54"/>
      <c r="M423" s="54"/>
      <c r="N423" s="54"/>
      <c r="O423" s="54"/>
      <c r="P423" s="54"/>
    </row>
    <row r="424" spans="1:16" ht="14.25" customHeight="1">
      <c r="A424" s="2745"/>
      <c r="B424" s="69" t="s">
        <v>957</v>
      </c>
      <c r="C424" s="2750"/>
      <c r="D424" s="2750"/>
      <c r="E424" s="2750"/>
      <c r="F424" s="2750"/>
      <c r="G424" s="2750"/>
      <c r="H424" s="2750"/>
      <c r="I424" s="54"/>
      <c r="J424" s="54"/>
      <c r="K424" s="54"/>
      <c r="L424" s="54"/>
      <c r="M424" s="54"/>
      <c r="N424" s="54"/>
      <c r="O424" s="54"/>
      <c r="P424" s="54"/>
    </row>
    <row r="425" spans="1:16" ht="14.25" customHeight="1">
      <c r="A425" s="2745"/>
      <c r="B425" s="69" t="s">
        <v>1667</v>
      </c>
      <c r="C425" s="2750"/>
      <c r="D425" s="2750"/>
      <c r="E425" s="2750"/>
      <c r="F425" s="2750"/>
      <c r="G425" s="2750"/>
      <c r="H425" s="2750"/>
      <c r="I425" s="54"/>
      <c r="J425" s="54"/>
      <c r="K425" s="54"/>
      <c r="L425" s="54"/>
      <c r="M425" s="54"/>
      <c r="N425" s="54"/>
      <c r="O425" s="54"/>
      <c r="P425" s="54"/>
    </row>
    <row r="426" spans="1:16" ht="14.25" customHeight="1">
      <c r="A426" s="2745"/>
      <c r="B426" s="69" t="s">
        <v>1668</v>
      </c>
      <c r="C426" s="2750"/>
      <c r="D426" s="2750"/>
      <c r="E426" s="2750"/>
      <c r="F426" s="2750"/>
      <c r="G426" s="2750"/>
      <c r="H426" s="2750"/>
      <c r="I426" s="54"/>
      <c r="J426" s="54"/>
      <c r="K426" s="54"/>
      <c r="L426" s="54"/>
      <c r="M426" s="54"/>
      <c r="N426" s="54"/>
      <c r="O426" s="54"/>
      <c r="P426" s="54"/>
    </row>
    <row r="427" spans="1:16" ht="14.25" customHeight="1">
      <c r="A427" s="2745"/>
      <c r="B427" s="69" t="s">
        <v>1701</v>
      </c>
      <c r="C427" s="2750"/>
      <c r="D427" s="2750"/>
      <c r="E427" s="2750"/>
      <c r="F427" s="2750"/>
      <c r="G427" s="2750"/>
      <c r="H427" s="2750"/>
      <c r="I427" s="54"/>
      <c r="J427" s="54"/>
      <c r="K427" s="54"/>
      <c r="L427" s="54"/>
      <c r="M427" s="54"/>
      <c r="N427" s="54"/>
      <c r="O427" s="54"/>
      <c r="P427" s="54"/>
    </row>
    <row r="428" spans="1:16" ht="14.25" customHeight="1">
      <c r="A428" s="2745"/>
      <c r="B428" s="69"/>
      <c r="C428" s="2750"/>
      <c r="D428" s="2750"/>
      <c r="E428" s="2750"/>
      <c r="F428" s="2750"/>
      <c r="G428" s="2750"/>
      <c r="H428" s="2750"/>
      <c r="I428" s="54"/>
      <c r="J428" s="54"/>
      <c r="K428" s="54"/>
      <c r="L428" s="54"/>
      <c r="M428" s="54"/>
      <c r="N428" s="54"/>
      <c r="O428" s="54"/>
      <c r="P428" s="54"/>
    </row>
    <row r="429" spans="1:16" ht="14.25" customHeight="1">
      <c r="A429" s="2745" t="s">
        <v>862</v>
      </c>
      <c r="B429" s="69" t="s">
        <v>1669</v>
      </c>
      <c r="C429" s="2750"/>
      <c r="D429" s="2750"/>
      <c r="E429" s="2750"/>
      <c r="F429" s="2750"/>
      <c r="G429" s="2750"/>
      <c r="H429" s="2750"/>
      <c r="I429" s="54"/>
      <c r="J429" s="54"/>
      <c r="K429" s="54"/>
      <c r="L429" s="54"/>
      <c r="M429" s="54"/>
      <c r="N429" s="54"/>
      <c r="O429" s="54"/>
      <c r="P429" s="54"/>
    </row>
    <row r="430" spans="1:16" ht="14.25" customHeight="1">
      <c r="A430" s="2745"/>
      <c r="B430" s="69" t="s">
        <v>969</v>
      </c>
      <c r="C430" s="2750"/>
      <c r="D430" s="2750"/>
      <c r="E430" s="2750"/>
      <c r="F430" s="2750"/>
      <c r="G430" s="2750"/>
      <c r="H430" s="2750"/>
      <c r="I430" s="54"/>
      <c r="J430" s="54"/>
      <c r="K430" s="54"/>
      <c r="L430" s="54"/>
      <c r="M430" s="54"/>
      <c r="N430" s="54"/>
      <c r="O430" s="54"/>
      <c r="P430" s="54"/>
    </row>
    <row r="431" spans="1:16" ht="14.25" customHeight="1">
      <c r="A431" s="2745" t="s">
        <v>111</v>
      </c>
      <c r="B431" s="69"/>
      <c r="C431" s="2750"/>
      <c r="D431" s="2750"/>
      <c r="E431" s="2750"/>
      <c r="F431" s="2750"/>
      <c r="G431" s="2750"/>
      <c r="H431" s="2750"/>
      <c r="I431" s="54"/>
      <c r="J431" s="54"/>
      <c r="K431" s="54"/>
      <c r="L431" s="54"/>
      <c r="M431" s="54"/>
      <c r="N431" s="54"/>
      <c r="O431" s="54"/>
      <c r="P431" s="54"/>
    </row>
    <row r="432" spans="1:16" ht="14.25" customHeight="1">
      <c r="A432" s="4696" t="str">
        <f>"GPOS 08 x xx xx                     "&amp;FIXED('84 9 Nachweis'!S41,2)&amp;" €."</f>
        <v>GPOS 08 x xx xx                     0,00 €.</v>
      </c>
      <c r="B432" s="4696"/>
      <c r="C432" s="4696"/>
      <c r="D432" s="4696"/>
      <c r="E432" s="4696"/>
      <c r="F432" s="4696"/>
      <c r="G432" s="4696"/>
      <c r="H432" s="4696"/>
      <c r="I432" s="4696"/>
      <c r="J432" s="54"/>
      <c r="K432" s="54"/>
      <c r="L432" s="54"/>
      <c r="M432" s="54"/>
      <c r="N432" s="54"/>
      <c r="O432" s="54"/>
      <c r="P432" s="54"/>
    </row>
    <row r="433" spans="1:16" ht="14.25" customHeight="1">
      <c r="A433" s="2745"/>
      <c r="B433" s="69"/>
      <c r="C433" s="2750"/>
      <c r="D433" s="2750"/>
      <c r="E433" s="2750"/>
      <c r="F433" s="2750"/>
      <c r="G433" s="2750"/>
      <c r="H433" s="2750"/>
      <c r="I433" s="54"/>
      <c r="J433" s="54"/>
      <c r="K433" s="54"/>
      <c r="L433" s="54"/>
      <c r="M433" s="54"/>
      <c r="N433" s="54"/>
      <c r="O433" s="54"/>
      <c r="P433" s="54"/>
    </row>
    <row r="434" spans="1:16" ht="14.25" customHeight="1">
      <c r="A434" s="2745"/>
      <c r="B434" s="69" t="s">
        <v>1670</v>
      </c>
      <c r="C434" s="2750"/>
      <c r="D434" s="2750"/>
      <c r="E434" s="2750"/>
      <c r="F434" s="2750"/>
      <c r="G434" s="2750"/>
      <c r="H434" s="2750"/>
      <c r="I434" s="54"/>
      <c r="J434" s="54"/>
      <c r="K434" s="54"/>
      <c r="L434" s="54"/>
      <c r="M434" s="54"/>
      <c r="N434" s="54"/>
      <c r="O434" s="54"/>
      <c r="P434" s="54"/>
    </row>
    <row r="435" spans="1:16" ht="14.25" customHeight="1">
      <c r="A435" s="2745"/>
      <c r="B435" s="69" t="s">
        <v>1671</v>
      </c>
      <c r="C435" s="2750"/>
      <c r="D435" s="2750"/>
      <c r="E435" s="2750"/>
      <c r="F435" s="2750"/>
      <c r="G435" s="2750"/>
      <c r="H435" s="2750"/>
      <c r="I435" s="54"/>
      <c r="J435" s="54"/>
      <c r="K435" s="54"/>
      <c r="L435" s="54"/>
      <c r="M435" s="54"/>
      <c r="N435" s="54"/>
      <c r="O435" s="54"/>
      <c r="P435" s="54"/>
    </row>
    <row r="436" spans="1:16" ht="14.25" customHeight="1">
      <c r="A436" s="2745"/>
      <c r="B436" s="69" t="s">
        <v>1672</v>
      </c>
      <c r="C436" s="2750"/>
      <c r="D436" s="2750"/>
      <c r="E436" s="2750"/>
      <c r="F436" s="2750"/>
      <c r="G436" s="2750"/>
      <c r="H436" s="2750"/>
      <c r="I436" s="54"/>
      <c r="J436" s="54"/>
      <c r="K436" s="54"/>
      <c r="L436" s="54"/>
      <c r="M436" s="54"/>
      <c r="N436" s="54"/>
      <c r="O436" s="54"/>
      <c r="P436" s="54"/>
    </row>
    <row r="437" spans="1:16" ht="14.25" customHeight="1">
      <c r="A437" s="2745"/>
      <c r="B437" s="69" t="s">
        <v>1673</v>
      </c>
      <c r="C437" s="2750"/>
      <c r="D437" s="2750"/>
      <c r="E437" s="2750"/>
      <c r="F437" s="2750"/>
      <c r="G437" s="2750"/>
      <c r="H437" s="2750"/>
      <c r="I437" s="54"/>
      <c r="J437" s="54"/>
      <c r="K437" s="54"/>
      <c r="L437" s="54"/>
      <c r="M437" s="54"/>
      <c r="N437" s="54"/>
      <c r="O437" s="54"/>
      <c r="P437" s="54"/>
    </row>
    <row r="438" spans="1:16" ht="14.25" customHeight="1">
      <c r="A438" s="2745"/>
      <c r="B438" s="69" t="s">
        <v>1698</v>
      </c>
      <c r="C438" s="2750"/>
      <c r="D438" s="2750"/>
      <c r="E438" s="2750"/>
      <c r="F438" s="2750"/>
      <c r="G438" s="2750"/>
      <c r="H438" s="2750"/>
      <c r="I438" s="54"/>
      <c r="J438" s="54"/>
      <c r="K438" s="54"/>
      <c r="L438" s="54"/>
      <c r="M438" s="54"/>
      <c r="N438" s="54"/>
      <c r="O438" s="54"/>
      <c r="P438" s="54"/>
    </row>
    <row r="439" spans="1:16" ht="14.25" customHeight="1">
      <c r="A439" s="2745"/>
      <c r="B439" s="69"/>
      <c r="C439" s="2750"/>
      <c r="D439" s="2750"/>
      <c r="E439" s="2750"/>
      <c r="F439" s="2750"/>
      <c r="G439" s="2750"/>
      <c r="H439" s="2750"/>
      <c r="I439" s="54"/>
      <c r="J439" s="54"/>
      <c r="K439" s="54"/>
      <c r="L439" s="54"/>
      <c r="M439" s="54"/>
      <c r="N439" s="54"/>
      <c r="O439" s="54"/>
      <c r="P439" s="54"/>
    </row>
    <row r="440" spans="1:16" ht="14.25" customHeight="1">
      <c r="A440" s="2745" t="s">
        <v>1674</v>
      </c>
      <c r="B440" s="69" t="s">
        <v>863</v>
      </c>
      <c r="C440" s="2750"/>
      <c r="D440" s="2750"/>
      <c r="E440" s="2750"/>
      <c r="F440" s="2750"/>
      <c r="G440" s="2750"/>
      <c r="H440" s="2750"/>
      <c r="I440" s="54"/>
      <c r="J440" s="54"/>
      <c r="K440" s="54"/>
      <c r="L440" s="54"/>
      <c r="M440" s="54"/>
      <c r="N440" s="54"/>
      <c r="O440" s="54"/>
      <c r="P440" s="54"/>
    </row>
    <row r="441" spans="1:16" ht="14.25" customHeight="1">
      <c r="A441" s="2745"/>
      <c r="B441" s="69" t="s">
        <v>1675</v>
      </c>
      <c r="C441" s="2750"/>
      <c r="D441" s="2750"/>
      <c r="E441" s="2750"/>
      <c r="F441" s="2750"/>
      <c r="G441" s="2750"/>
      <c r="H441" s="2750"/>
      <c r="I441" s="54"/>
      <c r="J441" s="54"/>
      <c r="K441" s="54"/>
      <c r="L441" s="54"/>
      <c r="M441" s="54"/>
      <c r="N441" s="54"/>
      <c r="O441" s="54"/>
      <c r="P441" s="54"/>
    </row>
    <row r="442" spans="1:16" ht="14.25" customHeight="1">
      <c r="A442" s="2745"/>
      <c r="B442" s="69"/>
      <c r="C442" s="2750"/>
      <c r="D442" s="2750"/>
      <c r="E442" s="2750"/>
      <c r="F442" s="2750"/>
      <c r="G442" s="2750"/>
      <c r="H442" s="2750"/>
      <c r="I442" s="54"/>
      <c r="J442" s="54"/>
      <c r="K442" s="54"/>
      <c r="L442" s="54"/>
      <c r="M442" s="54"/>
      <c r="N442" s="54"/>
      <c r="O442" s="54"/>
      <c r="P442" s="54"/>
    </row>
    <row r="443" spans="1:16" ht="14.25" customHeight="1">
      <c r="A443" s="2745" t="s">
        <v>1676</v>
      </c>
      <c r="B443" s="69" t="s">
        <v>1677</v>
      </c>
      <c r="C443" s="2750"/>
      <c r="D443" s="2750"/>
      <c r="E443" s="2750"/>
      <c r="F443" s="2750"/>
      <c r="G443" s="2750"/>
      <c r="H443" s="2750"/>
      <c r="I443" s="54"/>
      <c r="J443" s="54"/>
      <c r="K443" s="54"/>
      <c r="L443" s="54"/>
      <c r="M443" s="54"/>
      <c r="N443" s="54"/>
      <c r="O443" s="54"/>
      <c r="P443" s="54"/>
    </row>
    <row r="444" spans="1:16" ht="14.25" customHeight="1">
      <c r="A444" s="2745"/>
      <c r="B444" s="69" t="s">
        <v>1678</v>
      </c>
      <c r="C444" s="2750"/>
      <c r="D444" s="2750"/>
      <c r="E444" s="2750"/>
      <c r="F444" s="2750"/>
      <c r="G444" s="2750"/>
      <c r="H444" s="2750"/>
      <c r="I444" s="54"/>
      <c r="J444" s="54"/>
      <c r="K444" s="54"/>
      <c r="L444" s="54"/>
      <c r="M444" s="54"/>
      <c r="N444" s="54"/>
      <c r="O444" s="54"/>
      <c r="P444" s="54"/>
    </row>
    <row r="445" spans="1:16" ht="14.25" customHeight="1">
      <c r="A445" s="2745"/>
      <c r="B445" s="69"/>
      <c r="C445" s="2750"/>
      <c r="D445" s="2750"/>
      <c r="E445" s="2750"/>
      <c r="F445" s="2750"/>
      <c r="G445" s="2750"/>
      <c r="H445" s="2750"/>
      <c r="I445" s="54"/>
      <c r="J445" s="54"/>
      <c r="K445" s="54"/>
      <c r="L445" s="54"/>
      <c r="M445" s="54"/>
      <c r="N445" s="54"/>
      <c r="O445" s="54"/>
      <c r="P445" s="54"/>
    </row>
    <row r="446" spans="1:16" ht="14.25" customHeight="1">
      <c r="A446" s="2745" t="s">
        <v>1679</v>
      </c>
      <c r="B446" s="69" t="s">
        <v>1699</v>
      </c>
      <c r="C446" s="2750"/>
      <c r="D446" s="2750"/>
      <c r="E446" s="2750"/>
      <c r="F446" s="2750"/>
      <c r="G446" s="2750"/>
      <c r="H446" s="2750"/>
      <c r="I446" s="54"/>
      <c r="J446" s="54"/>
      <c r="K446" s="54"/>
      <c r="L446" s="54"/>
      <c r="M446" s="54"/>
      <c r="N446" s="54"/>
      <c r="O446" s="54"/>
      <c r="P446" s="54"/>
    </row>
    <row r="447" spans="1:16" ht="14.25" customHeight="1">
      <c r="A447" s="2745"/>
      <c r="B447" s="69" t="s">
        <v>1680</v>
      </c>
      <c r="C447" s="2750"/>
      <c r="D447" s="2750"/>
      <c r="E447" s="2750"/>
      <c r="F447" s="2750"/>
      <c r="G447" s="2750"/>
      <c r="H447" s="2750"/>
      <c r="I447" s="54"/>
      <c r="J447" s="54"/>
      <c r="K447" s="54"/>
      <c r="L447" s="54"/>
      <c r="M447" s="54"/>
      <c r="N447" s="54"/>
      <c r="O447" s="54"/>
      <c r="P447" s="54"/>
    </row>
    <row r="448" spans="1:16" ht="14.25" customHeight="1">
      <c r="A448" s="2745"/>
      <c r="B448" s="69" t="s">
        <v>1689</v>
      </c>
      <c r="C448" s="2750"/>
      <c r="D448" s="2750"/>
      <c r="E448" s="2750"/>
      <c r="F448" s="2750"/>
      <c r="G448" s="2750"/>
      <c r="H448" s="2750"/>
      <c r="I448" s="54"/>
      <c r="J448" s="54"/>
      <c r="K448" s="54"/>
      <c r="L448" s="54"/>
      <c r="M448" s="54"/>
      <c r="N448" s="54"/>
      <c r="O448" s="54"/>
      <c r="P448" s="54"/>
    </row>
    <row r="449" spans="1:16" ht="14.25" customHeight="1">
      <c r="A449" s="2745"/>
      <c r="B449" s="69"/>
      <c r="C449" s="2750"/>
      <c r="D449" s="2750"/>
      <c r="E449" s="2750"/>
      <c r="F449" s="2750"/>
      <c r="G449" s="2750"/>
      <c r="H449" s="2750"/>
      <c r="I449" s="54"/>
      <c r="J449" s="54"/>
      <c r="K449" s="54"/>
      <c r="L449" s="54"/>
      <c r="M449" s="54"/>
      <c r="N449" s="54"/>
      <c r="O449" s="54"/>
      <c r="P449" s="54"/>
    </row>
    <row r="450" spans="1:16" ht="14.25" customHeight="1">
      <c r="A450" s="4645" t="s">
        <v>1681</v>
      </c>
      <c r="B450" s="4645"/>
      <c r="C450" s="4645"/>
      <c r="D450" s="4645"/>
      <c r="E450" s="4645"/>
      <c r="F450" s="4645"/>
      <c r="G450" s="4645"/>
      <c r="H450" s="4645"/>
      <c r="I450" s="4645"/>
      <c r="J450" s="54"/>
      <c r="K450" s="54"/>
      <c r="L450" s="54"/>
      <c r="M450" s="54"/>
      <c r="N450" s="54"/>
      <c r="O450" s="54"/>
      <c r="P450" s="54"/>
    </row>
    <row r="451" spans="1:16" ht="14.25" customHeight="1">
      <c r="A451" s="58"/>
      <c r="B451" s="71"/>
      <c r="C451" s="71"/>
      <c r="D451" s="71"/>
      <c r="E451" s="71"/>
      <c r="F451" s="71"/>
      <c r="G451" s="71"/>
      <c r="H451" s="71"/>
      <c r="I451" s="54"/>
      <c r="J451" s="54"/>
      <c r="K451" s="54"/>
      <c r="L451" s="54"/>
      <c r="M451" s="54"/>
      <c r="N451" s="54"/>
      <c r="O451" s="54"/>
      <c r="P451" s="54"/>
    </row>
    <row r="452" spans="1:16" ht="14.25" customHeight="1">
      <c r="A452" s="4641" t="s">
        <v>319</v>
      </c>
      <c r="B452" s="4641"/>
      <c r="C452" s="4641"/>
      <c r="D452" s="4641"/>
      <c r="E452" s="4641"/>
      <c r="F452" s="4641"/>
      <c r="G452" s="4641"/>
      <c r="H452" s="4641"/>
      <c r="I452" s="4641"/>
      <c r="J452" s="54"/>
      <c r="K452" s="54"/>
      <c r="L452" s="54"/>
      <c r="M452" s="54"/>
      <c r="N452" s="54"/>
      <c r="O452" s="54"/>
      <c r="P452" s="54"/>
    </row>
    <row r="453" spans="1:16" ht="14.25" customHeight="1">
      <c r="A453" s="4641" t="s">
        <v>116</v>
      </c>
      <c r="B453" s="4641"/>
      <c r="C453" s="4641"/>
      <c r="D453" s="4641"/>
      <c r="E453" s="4641"/>
      <c r="F453" s="4641"/>
      <c r="G453" s="4641"/>
      <c r="H453" s="4641"/>
      <c r="I453" s="4641"/>
      <c r="J453" s="54"/>
      <c r="K453" s="54"/>
      <c r="L453" s="54"/>
      <c r="M453" s="54"/>
      <c r="N453" s="54"/>
      <c r="O453" s="54"/>
      <c r="P453" s="54"/>
    </row>
    <row r="454" spans="1:16" ht="14.25" customHeight="1">
      <c r="A454" s="54"/>
      <c r="B454" s="54"/>
      <c r="C454" s="71"/>
      <c r="D454" s="71"/>
      <c r="E454" s="71"/>
      <c r="F454" s="71"/>
      <c r="G454" s="71"/>
      <c r="H454" s="71"/>
      <c r="I454" s="54"/>
      <c r="J454" s="54"/>
      <c r="K454" s="54"/>
      <c r="L454" s="54"/>
      <c r="M454" s="54"/>
      <c r="N454" s="54"/>
      <c r="O454" s="54"/>
      <c r="P454" s="54"/>
    </row>
    <row r="455" spans="1:16" ht="14.25" customHeight="1">
      <c r="A455" s="54" t="s">
        <v>999</v>
      </c>
      <c r="B455" s="54"/>
      <c r="C455" s="71"/>
      <c r="D455" s="71"/>
      <c r="E455" s="71"/>
      <c r="F455" s="71"/>
      <c r="G455" s="71"/>
      <c r="H455" s="71"/>
      <c r="I455" s="54"/>
      <c r="J455" s="54"/>
      <c r="K455" s="54"/>
      <c r="L455" s="54"/>
      <c r="M455" s="54"/>
      <c r="N455" s="54"/>
      <c r="O455" s="54"/>
      <c r="P455" s="54"/>
    </row>
    <row r="456" spans="1:16" ht="14.25" customHeight="1">
      <c r="A456" s="54" t="s">
        <v>874</v>
      </c>
      <c r="B456" s="54"/>
      <c r="C456" s="71"/>
      <c r="D456" s="71"/>
      <c r="E456" s="71"/>
      <c r="F456" s="71"/>
      <c r="G456" s="71"/>
      <c r="H456" s="71"/>
      <c r="I456" s="54"/>
      <c r="J456" s="54"/>
      <c r="K456" s="54"/>
      <c r="L456" s="54"/>
      <c r="M456" s="54"/>
      <c r="N456" s="54"/>
      <c r="O456" s="54"/>
      <c r="P456" s="54"/>
    </row>
    <row r="457" spans="1:16" ht="14.25" customHeight="1">
      <c r="A457" s="54" t="s">
        <v>875</v>
      </c>
      <c r="B457" s="54"/>
      <c r="C457" s="71"/>
      <c r="D457" s="71"/>
      <c r="E457" s="71"/>
      <c r="F457" s="71"/>
      <c r="G457" s="71"/>
      <c r="H457" s="71"/>
      <c r="I457" s="54"/>
      <c r="J457" s="54"/>
      <c r="K457" s="54"/>
      <c r="L457" s="54"/>
      <c r="M457" s="54"/>
      <c r="N457" s="54"/>
      <c r="O457" s="54"/>
      <c r="P457" s="54"/>
    </row>
    <row r="458" spans="1:16" ht="14.25" customHeight="1">
      <c r="A458" s="54"/>
      <c r="B458" s="54"/>
      <c r="C458" s="649"/>
      <c r="D458" s="649"/>
      <c r="E458" s="649"/>
      <c r="F458" s="649"/>
      <c r="G458" s="649"/>
      <c r="H458" s="649"/>
      <c r="I458" s="54"/>
      <c r="J458" s="54"/>
      <c r="K458" s="54"/>
      <c r="L458" s="54"/>
      <c r="M458" s="54"/>
      <c r="N458" s="54"/>
      <c r="O458" s="54"/>
      <c r="P458" s="54"/>
    </row>
    <row r="459" spans="1:16" ht="14.25" customHeight="1">
      <c r="A459" s="54"/>
      <c r="B459" s="54"/>
      <c r="C459" s="460"/>
      <c r="D459" s="460"/>
      <c r="E459" s="460"/>
      <c r="F459" s="460"/>
      <c r="G459" s="460"/>
      <c r="H459" s="460"/>
      <c r="I459" s="54"/>
      <c r="J459" s="54"/>
      <c r="K459" s="54"/>
      <c r="L459" s="54"/>
      <c r="M459" s="54"/>
      <c r="N459" s="54"/>
      <c r="O459" s="54"/>
      <c r="P459" s="54"/>
    </row>
    <row r="460" spans="1:16" ht="14.25" customHeight="1">
      <c r="A460" s="4641" t="s">
        <v>851</v>
      </c>
      <c r="B460" s="4641"/>
      <c r="C460" s="4641"/>
      <c r="D460" s="4641"/>
      <c r="E460" s="4641"/>
      <c r="F460" s="4641"/>
      <c r="G460" s="4641"/>
      <c r="H460" s="4641"/>
      <c r="I460" s="4641"/>
      <c r="J460" s="54"/>
      <c r="K460" s="54"/>
      <c r="L460" s="54"/>
      <c r="M460" s="54"/>
      <c r="N460" s="54"/>
      <c r="O460" s="54"/>
      <c r="P460" s="54"/>
    </row>
    <row r="461" spans="1:16" ht="14.25" customHeight="1">
      <c r="A461" s="4641" t="s">
        <v>876</v>
      </c>
      <c r="B461" s="4641"/>
      <c r="C461" s="4641"/>
      <c r="D461" s="4641"/>
      <c r="E461" s="4641"/>
      <c r="F461" s="4641"/>
      <c r="G461" s="4641"/>
      <c r="H461" s="4641"/>
      <c r="I461" s="4641"/>
      <c r="J461" s="54"/>
      <c r="K461" s="54"/>
      <c r="L461" s="54"/>
      <c r="M461" s="54"/>
      <c r="N461" s="54"/>
      <c r="O461" s="54"/>
      <c r="P461" s="54"/>
    </row>
    <row r="462" spans="1:16" ht="14.25" customHeight="1">
      <c r="A462" s="54"/>
      <c r="B462" s="54"/>
      <c r="C462" s="68"/>
      <c r="D462" s="68"/>
      <c r="E462" s="68"/>
      <c r="F462" s="68"/>
      <c r="G462" s="68"/>
      <c r="H462" s="68"/>
      <c r="I462" s="54"/>
      <c r="J462" s="54"/>
      <c r="K462" s="54"/>
      <c r="L462" s="54"/>
      <c r="M462" s="54"/>
      <c r="N462" s="54"/>
      <c r="O462" s="54"/>
      <c r="P462" s="54"/>
    </row>
    <row r="463" spans="1:16" ht="14.25" customHeight="1">
      <c r="A463" s="54" t="str">
        <f>"Diese Vergütungsvereinbarung tritt am "&amp;TEXT(Protokoll!B11,"TT.MM.JJJJ")&amp;" in Kraft und gilt bis zum "&amp;TEXT(Protokoll!D11,"TT.MM.JJJJ")&amp;"."</f>
        <v>Diese Vergütungsvereinbarung tritt am 01.03.2025 in Kraft und gilt bis zum 28.02.2026.</v>
      </c>
      <c r="C463" s="54"/>
      <c r="D463" s="54"/>
      <c r="E463" s="54"/>
      <c r="F463" s="54"/>
      <c r="G463" s="54"/>
      <c r="H463" s="54"/>
      <c r="I463" s="54"/>
      <c r="J463" s="54"/>
      <c r="K463" s="54"/>
      <c r="L463" s="54"/>
      <c r="M463" s="54"/>
      <c r="N463" s="54"/>
      <c r="O463" s="54"/>
      <c r="P463" s="54"/>
    </row>
    <row r="464" spans="1:16" ht="14.25" customHeight="1">
      <c r="A464" s="63"/>
      <c r="B464" s="54"/>
      <c r="C464" s="54"/>
      <c r="D464" s="54"/>
      <c r="E464" s="54"/>
      <c r="F464" s="54"/>
      <c r="G464" s="54"/>
      <c r="H464" s="54"/>
      <c r="I464" s="54"/>
      <c r="J464" s="54"/>
      <c r="K464" s="54"/>
      <c r="L464" s="54"/>
      <c r="M464" s="54"/>
      <c r="N464" s="54"/>
      <c r="O464" s="54"/>
      <c r="P464" s="54"/>
    </row>
    <row r="465" spans="1:16" ht="14.25" customHeight="1">
      <c r="A465" s="54" t="s">
        <v>1375</v>
      </c>
      <c r="B465" s="54"/>
      <c r="C465" s="54"/>
      <c r="D465" s="54"/>
      <c r="E465" s="54"/>
      <c r="F465" s="54"/>
      <c r="G465" s="54"/>
      <c r="H465" s="54"/>
      <c r="I465" s="54"/>
      <c r="J465" s="54"/>
      <c r="K465" s="54"/>
      <c r="L465" s="54"/>
      <c r="M465" s="54"/>
      <c r="N465" s="54"/>
      <c r="O465" s="54"/>
      <c r="P465" s="54"/>
    </row>
    <row r="466" spans="1:16" ht="14.25" customHeight="1">
      <c r="A466" s="54" t="s">
        <v>996</v>
      </c>
      <c r="B466" s="54"/>
      <c r="C466" s="54"/>
      <c r="D466" s="54"/>
      <c r="E466" s="54"/>
      <c r="F466" s="54"/>
      <c r="G466" s="54"/>
      <c r="H466" s="54"/>
      <c r="I466" s="54"/>
      <c r="J466" s="54"/>
      <c r="K466" s="54"/>
      <c r="L466" s="54"/>
      <c r="M466" s="54"/>
      <c r="N466" s="54"/>
      <c r="O466" s="54"/>
      <c r="P466" s="54"/>
    </row>
    <row r="467" spans="1:16" ht="14.25" customHeight="1">
      <c r="A467" s="54" t="s">
        <v>877</v>
      </c>
      <c r="B467" s="54"/>
      <c r="C467" s="54"/>
      <c r="D467" s="54"/>
      <c r="E467" s="54"/>
      <c r="F467" s="54"/>
      <c r="G467" s="54"/>
      <c r="H467" s="54"/>
      <c r="I467" s="54"/>
      <c r="J467" s="54"/>
      <c r="K467" s="54"/>
      <c r="L467" s="54"/>
      <c r="M467" s="54"/>
      <c r="N467" s="54"/>
      <c r="O467" s="54"/>
      <c r="P467" s="54"/>
    </row>
    <row r="468" spans="1:16" ht="14.25" customHeight="1">
      <c r="A468" s="54" t="s">
        <v>878</v>
      </c>
      <c r="B468" s="54"/>
      <c r="C468" s="54"/>
      <c r="D468" s="54"/>
      <c r="E468" s="54"/>
      <c r="F468" s="54"/>
      <c r="G468" s="54"/>
      <c r="H468" s="54"/>
      <c r="I468" s="54"/>
      <c r="J468" s="54"/>
      <c r="K468" s="54"/>
      <c r="L468" s="54"/>
      <c r="M468" s="54"/>
      <c r="N468" s="54"/>
      <c r="O468" s="54"/>
      <c r="P468" s="54"/>
    </row>
    <row r="469" spans="1:16" ht="14.25">
      <c r="B469" s="54"/>
      <c r="C469" s="54"/>
      <c r="D469" s="54"/>
      <c r="E469" s="54"/>
      <c r="F469" s="54"/>
      <c r="G469" s="54"/>
      <c r="H469" s="54"/>
      <c r="I469" s="54"/>
      <c r="J469" s="54"/>
      <c r="K469" s="54"/>
      <c r="L469" s="54"/>
      <c r="M469" s="54"/>
      <c r="N469" s="54"/>
      <c r="O469" s="54"/>
      <c r="P469" s="54"/>
    </row>
    <row r="470" spans="1:16" ht="14.25">
      <c r="B470" s="54"/>
      <c r="C470" s="54"/>
      <c r="D470" s="54"/>
      <c r="E470" s="54"/>
      <c r="F470" s="54"/>
      <c r="G470" s="54"/>
      <c r="H470" s="54"/>
      <c r="I470" s="54"/>
      <c r="J470" s="54"/>
      <c r="K470" s="54"/>
      <c r="L470" s="54"/>
      <c r="M470" s="54"/>
      <c r="N470" s="54"/>
      <c r="O470" s="54"/>
      <c r="P470" s="54"/>
    </row>
    <row r="471" spans="1:16" ht="14.25">
      <c r="A471" s="54"/>
      <c r="B471" s="54"/>
      <c r="C471" s="54"/>
      <c r="D471" s="54"/>
      <c r="E471" s="54"/>
      <c r="F471" s="54"/>
      <c r="G471" s="54"/>
      <c r="H471" s="54"/>
      <c r="I471" s="54"/>
      <c r="J471" s="54"/>
      <c r="K471" s="54"/>
      <c r="L471" s="54"/>
      <c r="M471" s="54"/>
      <c r="N471" s="54"/>
      <c r="O471" s="54"/>
      <c r="P471" s="54"/>
    </row>
    <row r="472" spans="1:16" ht="14.25" customHeight="1">
      <c r="A472" s="90" t="e">
        <f ca="1">IF(Ort_Träger=VLOOKUP(Ort,Datenbereich,6,FALSE),"",Ort_Träger&amp;", ")&amp;VLOOKUP(Ort,Datenbereich,6,FALSE)&amp;", "&amp;IF(Ort_Träger="Münster","",IF(Ort_Träger="Köln","",VLOOKUP(Ort,Datenbereich,7,FALSE)&amp;", "))&amp;TEXT(TODAY(),"TT.MM.JJJJ")</f>
        <v>#N/A</v>
      </c>
      <c r="B472" s="69"/>
      <c r="C472" s="54"/>
      <c r="D472" s="54"/>
      <c r="E472" s="54"/>
      <c r="F472" s="54"/>
      <c r="G472" s="54"/>
      <c r="H472" s="54"/>
      <c r="I472" s="76"/>
      <c r="J472" s="76"/>
      <c r="K472" s="76"/>
      <c r="L472" s="76"/>
      <c r="M472" s="76"/>
      <c r="N472" s="76"/>
      <c r="O472" s="76"/>
      <c r="P472" s="76"/>
    </row>
    <row r="473" spans="1:16" ht="14.25" customHeight="1">
      <c r="A473" s="91"/>
      <c r="B473" s="67"/>
      <c r="C473" s="54"/>
      <c r="D473" s="54"/>
      <c r="E473" s="54"/>
      <c r="F473" s="54"/>
      <c r="G473" s="54"/>
      <c r="H473" s="54"/>
      <c r="I473" s="58"/>
      <c r="J473" s="58"/>
      <c r="K473" s="58"/>
      <c r="L473" s="58"/>
      <c r="M473" s="58"/>
      <c r="N473" s="58"/>
      <c r="O473" s="58"/>
      <c r="P473" s="58"/>
    </row>
    <row r="474" spans="1:16" ht="14.25" customHeight="1">
      <c r="A474" s="94"/>
      <c r="B474" s="94"/>
      <c r="C474" s="54"/>
      <c r="D474" s="54"/>
      <c r="E474" s="54"/>
      <c r="F474" s="54"/>
      <c r="G474" s="54"/>
      <c r="H474" s="54"/>
    </row>
    <row r="475" spans="1:16" ht="14.25" customHeight="1">
      <c r="A475" s="94"/>
      <c r="B475" s="94"/>
      <c r="C475" s="54"/>
      <c r="D475" s="54"/>
      <c r="E475" s="54"/>
      <c r="F475" s="54"/>
      <c r="G475" s="54"/>
      <c r="H475" s="54"/>
    </row>
    <row r="476" spans="1:16" ht="14.25" customHeight="1">
      <c r="A476" s="93"/>
      <c r="B476" s="93"/>
      <c r="C476" s="69"/>
      <c r="D476" s="69"/>
      <c r="E476" s="69"/>
      <c r="F476" s="69"/>
      <c r="G476" s="69"/>
      <c r="H476" s="67"/>
    </row>
    <row r="477" spans="1:16" ht="14.25" customHeight="1">
      <c r="A477" s="93"/>
      <c r="B477" s="93"/>
      <c r="C477" s="54"/>
      <c r="D477" s="54"/>
      <c r="E477" s="54"/>
      <c r="F477" s="54"/>
      <c r="G477" s="54"/>
      <c r="H477" s="54"/>
    </row>
    <row r="478" spans="1:16" ht="14.25" customHeight="1">
      <c r="A478" s="93"/>
      <c r="B478" s="93"/>
    </row>
    <row r="479" spans="1:16" ht="14.25" customHeight="1">
      <c r="A479" s="93"/>
      <c r="B479" s="93"/>
    </row>
    <row r="480" spans="1:16" ht="14.25" customHeight="1">
      <c r="A480" s="93"/>
      <c r="B480" s="93"/>
    </row>
    <row r="481" spans="1:8" ht="14.25" customHeight="1">
      <c r="A481" s="93"/>
      <c r="B481" s="93"/>
    </row>
    <row r="482" spans="1:8" ht="14.25" customHeight="1" thickBot="1">
      <c r="A482" s="92"/>
      <c r="B482" s="92"/>
      <c r="C482" s="92"/>
      <c r="D482" s="92"/>
      <c r="E482" s="92"/>
      <c r="F482" s="54"/>
      <c r="G482" s="92"/>
      <c r="H482" s="92"/>
    </row>
    <row r="483" spans="1:8" ht="14.25" customHeight="1">
      <c r="A483" s="4617" t="str">
        <f>CONCATENATE(Träger," ",Träger2)</f>
        <v xml:space="preserve"> </v>
      </c>
      <c r="B483" s="4617"/>
      <c r="C483" s="4617"/>
      <c r="D483" s="4617"/>
      <c r="E483" s="4617"/>
      <c r="F483" s="93"/>
      <c r="G483" s="4619" t="s">
        <v>355</v>
      </c>
      <c r="H483" s="4619"/>
    </row>
    <row r="484" spans="1:8" ht="14.25" customHeight="1">
      <c r="A484" s="4618"/>
      <c r="B484" s="4618"/>
      <c r="C484" s="4618"/>
      <c r="D484" s="4618"/>
      <c r="E484" s="4618"/>
      <c r="F484" s="93"/>
      <c r="G484" s="4620" t="str">
        <f>"in Nordrhein-Westfalen, vertreten durch"</f>
        <v>in Nordrhein-Westfalen, vertreten durch</v>
      </c>
      <c r="H484" s="4620"/>
    </row>
    <row r="485" spans="1:8" ht="14.25" customHeight="1">
      <c r="A485" s="4618"/>
      <c r="B485" s="4618"/>
      <c r="C485" s="4618"/>
      <c r="D485" s="4618"/>
      <c r="E485" s="4618"/>
      <c r="F485" s="93"/>
      <c r="G485"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485" s="4620"/>
    </row>
    <row r="486" spans="1:8" ht="14.25" customHeight="1">
      <c r="G486" s="4601"/>
      <c r="H486" s="4601"/>
    </row>
    <row r="487" spans="1:8" ht="14.25" customHeight="1"/>
    <row r="488" spans="1:8" ht="14.25" customHeight="1"/>
    <row r="489" spans="1:8" ht="14.25" customHeight="1"/>
    <row r="490" spans="1:8" ht="14.25" customHeight="1"/>
    <row r="491" spans="1:8" ht="14.25" customHeight="1"/>
    <row r="492" spans="1:8" ht="14.25" customHeight="1"/>
    <row r="493" spans="1:8" ht="14.25" customHeight="1" thickBot="1">
      <c r="G493" s="120" t="s">
        <v>351</v>
      </c>
      <c r="H493" s="120"/>
    </row>
    <row r="494" spans="1:8" ht="14.25" customHeight="1">
      <c r="G494" s="4639" t="str">
        <f>IF(Ergebnis!$C$2="Westfalen-Lippe","Der Direktor des Landschaftsverbandes","Die Direktorin des Landschaftsverbandes")</f>
        <v>Die Direktorin des Landschaftsverbandes</v>
      </c>
      <c r="H494" s="4639"/>
    </row>
    <row r="495" spans="1:8" ht="14.25" customHeight="1">
      <c r="G495" s="4640" t="str">
        <f>IF(Ergebnis!$C$2="Westfalen-Lippe","Westfalen-Lippe","Rheinland")</f>
        <v>Rheinland</v>
      </c>
      <c r="H495" s="4640"/>
    </row>
    <row r="496" spans="1:8"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sheetData>
  <mergeCells count="56">
    <mergeCell ref="A432:I432"/>
    <mergeCell ref="A452:I452"/>
    <mergeCell ref="A453:I453"/>
    <mergeCell ref="A460:I460"/>
    <mergeCell ref="A461:I461"/>
    <mergeCell ref="A450:I450"/>
    <mergeCell ref="A195:I195"/>
    <mergeCell ref="A196:I196"/>
    <mergeCell ref="A408:I408"/>
    <mergeCell ref="A113:I113"/>
    <mergeCell ref="A115:I115"/>
    <mergeCell ref="A116:I116"/>
    <mergeCell ref="A117:I117"/>
    <mergeCell ref="A172:I172"/>
    <mergeCell ref="A316:I316"/>
    <mergeCell ref="A331:I331"/>
    <mergeCell ref="A361:I361"/>
    <mergeCell ref="A362:I362"/>
    <mergeCell ref="A387:I387"/>
    <mergeCell ref="A2:I2"/>
    <mergeCell ref="A3:I3"/>
    <mergeCell ref="A4:I4"/>
    <mergeCell ref="A149:H149"/>
    <mergeCell ref="A150:H150"/>
    <mergeCell ref="D128:F128"/>
    <mergeCell ref="D129:F129"/>
    <mergeCell ref="D130:F130"/>
    <mergeCell ref="A135:H135"/>
    <mergeCell ref="A136:H136"/>
    <mergeCell ref="A55:I55"/>
    <mergeCell ref="A56:I56"/>
    <mergeCell ref="A53:I53"/>
    <mergeCell ref="A65:I65"/>
    <mergeCell ref="A66:I66"/>
    <mergeCell ref="A483:E485"/>
    <mergeCell ref="C122:C124"/>
    <mergeCell ref="D122:F124"/>
    <mergeCell ref="D126:F126"/>
    <mergeCell ref="G122:G124"/>
    <mergeCell ref="D125:F125"/>
    <mergeCell ref="D127:F127"/>
    <mergeCell ref="A419:I419"/>
    <mergeCell ref="E184:F184"/>
    <mergeCell ref="A223:I223"/>
    <mergeCell ref="A277:I277"/>
    <mergeCell ref="A279:I279"/>
    <mergeCell ref="A280:I280"/>
    <mergeCell ref="A309:I309"/>
    <mergeCell ref="A178:I178"/>
    <mergeCell ref="A179:I179"/>
    <mergeCell ref="G494:H494"/>
    <mergeCell ref="G495:H495"/>
    <mergeCell ref="G483:H483"/>
    <mergeCell ref="G484:H484"/>
    <mergeCell ref="G485:H485"/>
    <mergeCell ref="G486:H486"/>
  </mergeCells>
  <conditionalFormatting sqref="H15">
    <cfRule type="cellIs" dxfId="168" priority="6" operator="equal">
      <formula>0</formula>
    </cfRule>
  </conditionalFormatting>
  <conditionalFormatting sqref="A13 H11">
    <cfRule type="cellIs" dxfId="167" priority="5" operator="equal">
      <formula>0</formula>
    </cfRule>
  </conditionalFormatting>
  <printOptions horizontalCentered="1"/>
  <pageMargins left="0.78740157480314965" right="0.59055118110236227" top="0.39370078740157483" bottom="0.31496062992125984" header="0.31496062992125984" footer="0.23622047244094491"/>
  <pageSetup paperSize="9" scale="90" fitToWidth="7" fitToHeight="7" orientation="portrait" r:id="rId1"/>
  <headerFooter alignWithMargins="0"/>
  <rowBreaks count="8" manualBreakCount="8">
    <brk id="52" max="16383" man="1"/>
    <brk id="112" max="16383" man="1"/>
    <brk id="171" max="16383" man="1"/>
    <brk id="222" max="16383" man="1"/>
    <brk id="276" max="16383" man="1"/>
    <brk id="330" max="16383" man="1"/>
    <brk id="386" max="16383" man="1"/>
    <brk id="449" max="8" man="1"/>
  </rowBreaks>
  <ignoredErrors>
    <ignoredError sqref="E186:E190 E250:E251"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3" id="{5C241CF2-D037-4E2D-B6DE-F07D1C4E82E9}">
            <xm:f>'Copy &amp; Paste'!$H$12&lt;1</xm:f>
            <x14:dxf>
              <font>
                <color theme="0"/>
              </font>
            </x14:dxf>
          </x14:cfRule>
          <xm:sqref>D184:D190</xm:sqref>
        </x14:conditionalFormatting>
        <x14:conditionalFormatting xmlns:xm="http://schemas.microsoft.com/office/excel/2006/main">
          <x14:cfRule type="expression" priority="2" id="{E3E82635-0FB3-49B9-A181-C1478FAFE151}">
            <xm:f>'Copy &amp; Paste'!$H$12&lt;1</xm:f>
            <x14:dxf>
              <font>
                <color theme="0"/>
              </font>
            </x14:dxf>
          </x14:cfRule>
          <xm:sqref>C336:D336</xm:sqref>
        </x14:conditionalFormatting>
        <x14:conditionalFormatting xmlns:xm="http://schemas.microsoft.com/office/excel/2006/main">
          <x14:cfRule type="expression" priority="1" id="{1B2EB798-66F2-4242-89ED-97CF16F2C397}">
            <xm:f>'Copy &amp; Paste'!$H$12=""</xm:f>
            <x14:dxf>
              <font>
                <color theme="0"/>
              </font>
            </x14:dxf>
          </x14:cfRule>
          <xm:sqref>A332:J344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N307"/>
  <sheetViews>
    <sheetView topLeftCell="A148" zoomScaleNormal="100" zoomScaleSheetLayoutView="100" workbookViewId="0">
      <selection activeCell="E159" sqref="E159"/>
    </sheetView>
  </sheetViews>
  <sheetFormatPr baseColWidth="10" defaultRowHeight="12.75"/>
  <cols>
    <col min="1" max="1" width="3.42578125" customWidth="1"/>
    <col min="2" max="2" width="2.42578125" customWidth="1"/>
    <col min="3" max="3" width="16.7109375" customWidth="1"/>
    <col min="5" max="5" width="10.140625" customWidth="1"/>
    <col min="6" max="6" width="2.7109375" customWidth="1"/>
    <col min="8" max="8" width="32.7109375" customWidth="1"/>
  </cols>
  <sheetData>
    <row r="1" spans="1:10" ht="18">
      <c r="A1" s="4615" t="s">
        <v>1325</v>
      </c>
      <c r="B1" s="4615"/>
      <c r="C1" s="4615"/>
      <c r="D1" s="4615"/>
      <c r="E1" s="4615"/>
      <c r="F1" s="4615"/>
      <c r="G1" s="4615"/>
      <c r="H1" s="4615"/>
      <c r="I1" s="544">
        <f ca="1">TODAY()</f>
        <v>45750</v>
      </c>
      <c r="J1" s="545" t="s">
        <v>1456</v>
      </c>
    </row>
    <row r="2" spans="1:10" ht="18">
      <c r="A2" s="4615" t="str">
        <f ca="1">"Vereinbarung gemäß §§ 84, 85 und § 87 SGB XI vom "&amp;TEXT(I1,"TT.MM.JJJJ")</f>
        <v>Vereinbarung gemäß §§ 84, 85 und § 87 SGB XI vom 03.04.2025</v>
      </c>
      <c r="B2" s="4615"/>
      <c r="C2" s="4615"/>
      <c r="D2" s="4615"/>
      <c r="E2" s="4615"/>
      <c r="F2" s="4615"/>
      <c r="G2" s="4615"/>
      <c r="H2" s="4615"/>
    </row>
    <row r="3" spans="1:10" ht="18">
      <c r="A3" s="4615" t="s">
        <v>280</v>
      </c>
      <c r="B3" s="4615"/>
      <c r="C3" s="4615"/>
      <c r="D3" s="4615"/>
      <c r="E3" s="4615"/>
      <c r="F3" s="4615"/>
      <c r="G3" s="4615"/>
      <c r="H3" s="4615"/>
    </row>
    <row r="4" spans="1:10" ht="18">
      <c r="A4" s="4615" t="s">
        <v>1326</v>
      </c>
      <c r="B4" s="4615"/>
      <c r="C4" s="4615"/>
      <c r="D4" s="4615"/>
      <c r="E4" s="4615"/>
      <c r="F4" s="4615"/>
      <c r="G4" s="4615"/>
      <c r="H4" s="4615"/>
    </row>
    <row r="5" spans="1:10" ht="14.25">
      <c r="A5" s="54"/>
      <c r="B5" s="54"/>
      <c r="C5" s="54"/>
      <c r="D5" s="54"/>
      <c r="E5" s="54"/>
      <c r="F5" s="54"/>
      <c r="G5" s="55"/>
      <c r="H5" s="55"/>
    </row>
    <row r="6" spans="1:10" ht="14.25">
      <c r="A6" s="54" t="s">
        <v>103</v>
      </c>
      <c r="B6" s="54"/>
      <c r="C6" s="54"/>
      <c r="D6" s="54"/>
      <c r="E6" s="54"/>
      <c r="F6" s="54"/>
      <c r="G6" s="55"/>
      <c r="H6" s="55"/>
    </row>
    <row r="7" spans="1:10" ht="14.25">
      <c r="A7" s="54"/>
      <c r="B7" s="54"/>
      <c r="C7" s="54"/>
      <c r="D7" s="54"/>
      <c r="E7" s="54"/>
      <c r="F7" s="54"/>
      <c r="G7" s="55"/>
      <c r="H7" s="55"/>
    </row>
    <row r="8" spans="1:10" ht="15">
      <c r="A8" s="112" t="str">
        <f>CONCATENATE(Träger," ",Träger2)</f>
        <v xml:space="preserve"> </v>
      </c>
      <c r="B8" s="112"/>
      <c r="C8" s="112"/>
      <c r="D8" s="112"/>
      <c r="E8" s="112"/>
      <c r="F8" s="54"/>
      <c r="G8" s="55"/>
      <c r="H8" s="55"/>
    </row>
    <row r="9" spans="1:10" ht="15">
      <c r="A9" s="56" t="str">
        <f>'Seite 1'!F7</f>
        <v/>
      </c>
      <c r="B9" s="54"/>
      <c r="C9" s="54"/>
      <c r="D9" s="54"/>
      <c r="E9" s="54"/>
      <c r="F9" s="54"/>
      <c r="G9" s="55"/>
      <c r="H9" s="55"/>
    </row>
    <row r="10" spans="1:10" ht="15">
      <c r="A10" s="56" t="str">
        <f>CONCATENATE('Seite 1'!$F$8," ",'Seite 1'!$G$8)</f>
        <v xml:space="preserve"> </v>
      </c>
      <c r="B10" s="54"/>
      <c r="C10" s="54"/>
      <c r="D10" s="54"/>
      <c r="E10" s="54"/>
      <c r="F10" s="54"/>
      <c r="G10" s="55"/>
      <c r="H10" s="57" t="s">
        <v>15</v>
      </c>
    </row>
    <row r="11" spans="1:10" ht="15">
      <c r="A11" s="56"/>
      <c r="B11" s="54"/>
      <c r="C11" s="54"/>
      <c r="D11" s="54"/>
      <c r="E11" s="54"/>
      <c r="F11" s="54"/>
      <c r="G11" s="55"/>
      <c r="H11" s="535">
        <f>IK</f>
        <v>0</v>
      </c>
    </row>
    <row r="12" spans="1:10" ht="14.25">
      <c r="A12" s="54" t="s">
        <v>104</v>
      </c>
      <c r="B12" s="54"/>
      <c r="C12" s="54"/>
      <c r="D12" s="54"/>
      <c r="E12" s="54"/>
      <c r="F12" s="54"/>
      <c r="G12" s="55"/>
      <c r="H12" s="585"/>
    </row>
    <row r="13" spans="1:10" ht="14.25">
      <c r="A13" s="54"/>
      <c r="B13" s="54"/>
      <c r="C13" s="54"/>
      <c r="D13" s="54"/>
      <c r="E13" s="54"/>
      <c r="F13" s="54"/>
      <c r="G13" s="55"/>
      <c r="H13" s="55"/>
    </row>
    <row r="14" spans="1:10" ht="15">
      <c r="A14" s="56">
        <f>IF('Copy &amp; Paste'!B6="",'Copy &amp; Paste'!B5,CONCATENATE('Copy &amp; Paste'!B5,", - ",'Copy &amp; Paste'!B6,"- , "))</f>
        <v>0</v>
      </c>
      <c r="B14" s="54"/>
      <c r="C14" s="54"/>
      <c r="D14" s="54"/>
      <c r="E14" s="54"/>
      <c r="F14" s="54"/>
      <c r="G14" s="55"/>
    </row>
    <row r="15" spans="1:10" ht="15">
      <c r="A15" s="56" t="str">
        <f>'Seite 1'!C7</f>
        <v/>
      </c>
      <c r="B15" s="54"/>
      <c r="C15" s="54"/>
      <c r="D15" s="54"/>
      <c r="E15" s="54"/>
      <c r="F15" s="54"/>
      <c r="G15" s="55"/>
      <c r="H15" s="453" t="s">
        <v>1212</v>
      </c>
    </row>
    <row r="16" spans="1:10" ht="15">
      <c r="A16" s="56" t="str">
        <f>CONCATENATE('Seite 1'!$C$8," ",'Seite 1'!$D$8)</f>
        <v xml:space="preserve"> </v>
      </c>
      <c r="B16" s="54"/>
      <c r="C16" s="54"/>
      <c r="D16" s="54"/>
      <c r="E16" s="54"/>
      <c r="F16" s="54"/>
      <c r="G16" s="55"/>
      <c r="H16" s="543">
        <f>'Copy &amp; Paste'!B15</f>
        <v>0</v>
      </c>
    </row>
    <row r="17" spans="1:8" ht="14.25">
      <c r="A17" s="54"/>
      <c r="B17" s="54"/>
      <c r="C17" s="54"/>
      <c r="D17" s="54"/>
      <c r="E17" s="54"/>
      <c r="F17" s="54"/>
      <c r="G17" s="55"/>
      <c r="H17" s="537"/>
    </row>
    <row r="18" spans="1:8" ht="14.25">
      <c r="A18" s="59" t="s">
        <v>746</v>
      </c>
      <c r="B18" s="59"/>
      <c r="C18" s="59"/>
      <c r="D18" s="59"/>
      <c r="E18" s="59"/>
      <c r="F18" s="59"/>
      <c r="G18" s="59"/>
      <c r="H18" s="60" t="s">
        <v>741</v>
      </c>
    </row>
    <row r="19" spans="1:8" ht="14.25">
      <c r="A19" s="54"/>
      <c r="B19" s="54"/>
      <c r="C19" s="54"/>
      <c r="D19" s="54"/>
      <c r="E19" s="54"/>
      <c r="F19" s="54"/>
      <c r="G19" s="55"/>
      <c r="H19" s="55"/>
    </row>
    <row r="20" spans="1:8" ht="14.25">
      <c r="A20" s="54" t="s">
        <v>105</v>
      </c>
      <c r="B20" s="54"/>
      <c r="C20" s="54" t="s">
        <v>743</v>
      </c>
      <c r="D20" s="54"/>
      <c r="E20" s="54"/>
      <c r="F20" s="54"/>
      <c r="G20" s="55"/>
      <c r="H20" s="55"/>
    </row>
    <row r="21" spans="1:8" ht="14.25">
      <c r="A21" s="54"/>
      <c r="B21" s="54"/>
      <c r="C21" s="54"/>
      <c r="D21" s="54"/>
      <c r="E21" s="54"/>
      <c r="F21" s="54"/>
      <c r="G21" s="55"/>
      <c r="H21" s="55"/>
    </row>
    <row r="22" spans="1:8" ht="15">
      <c r="A22" s="54" t="s">
        <v>744</v>
      </c>
      <c r="B22" s="55"/>
      <c r="C22" s="56" t="s">
        <v>747</v>
      </c>
      <c r="D22" s="55"/>
      <c r="E22" s="55"/>
      <c r="F22" s="55"/>
      <c r="G22" s="55"/>
      <c r="H22" s="55"/>
    </row>
    <row r="23" spans="1:8" ht="15">
      <c r="A23" s="54" t="s">
        <v>744</v>
      </c>
      <c r="B23" s="54"/>
      <c r="C23" s="56" t="s">
        <v>880</v>
      </c>
      <c r="D23" s="54"/>
      <c r="E23" s="54"/>
      <c r="F23" s="54"/>
      <c r="G23" s="55"/>
      <c r="H23" s="55"/>
    </row>
    <row r="24" spans="1:8" ht="15">
      <c r="A24" s="54" t="s">
        <v>745</v>
      </c>
      <c r="B24" s="54"/>
      <c r="C24" s="56" t="s">
        <v>350</v>
      </c>
      <c r="D24" s="54"/>
      <c r="E24" s="54"/>
      <c r="F24" s="54"/>
      <c r="G24" s="55"/>
      <c r="H24" s="55"/>
    </row>
    <row r="25" spans="1:8" ht="14.25">
      <c r="A25" s="54"/>
      <c r="B25" s="54"/>
      <c r="C25" s="54" t="s">
        <v>347</v>
      </c>
      <c r="D25" s="54"/>
      <c r="E25" s="54"/>
      <c r="F25" s="54"/>
      <c r="G25" s="55"/>
      <c r="H25" s="55"/>
    </row>
    <row r="26" spans="1:8" ht="15">
      <c r="A26" s="54" t="s">
        <v>744</v>
      </c>
      <c r="B26" s="54"/>
      <c r="C26" s="56" t="s">
        <v>1407</v>
      </c>
      <c r="D26" s="54"/>
      <c r="E26" s="54"/>
      <c r="F26" s="54"/>
      <c r="G26" s="55"/>
      <c r="H26" s="55"/>
    </row>
    <row r="27" spans="1:8" ht="15">
      <c r="A27" s="54" t="s">
        <v>744</v>
      </c>
      <c r="B27" s="54"/>
      <c r="C27" s="56" t="s">
        <v>1194</v>
      </c>
      <c r="D27" s="54"/>
      <c r="E27" s="54"/>
      <c r="F27" s="54"/>
      <c r="G27" s="55"/>
      <c r="H27" s="55"/>
    </row>
    <row r="28" spans="1:8" ht="15">
      <c r="A28" s="54" t="s">
        <v>744</v>
      </c>
      <c r="B28" s="54"/>
      <c r="C28" s="56" t="s">
        <v>787</v>
      </c>
      <c r="D28" s="54"/>
      <c r="E28" s="54"/>
      <c r="F28" s="54"/>
      <c r="G28" s="55"/>
      <c r="H28" s="55"/>
    </row>
    <row r="29" spans="1:8" ht="15">
      <c r="A29" s="54"/>
      <c r="B29" s="54"/>
      <c r="C29" s="56" t="s">
        <v>793</v>
      </c>
      <c r="D29" s="54"/>
      <c r="E29" s="54"/>
      <c r="F29" s="54"/>
      <c r="G29" s="55"/>
      <c r="H29" s="55"/>
    </row>
    <row r="30" spans="1:8" ht="14.25">
      <c r="A30" s="54"/>
      <c r="B30" s="54"/>
      <c r="C30" s="54"/>
      <c r="D30" s="54"/>
      <c r="E30" s="54"/>
      <c r="F30" s="54"/>
      <c r="G30" s="55"/>
      <c r="H30" s="55"/>
    </row>
    <row r="31" spans="1:8" ht="15">
      <c r="A31" s="54" t="s">
        <v>352</v>
      </c>
      <c r="B31" s="54"/>
      <c r="C31" s="56" t="s">
        <v>353</v>
      </c>
      <c r="D31" s="54"/>
      <c r="E31" s="54"/>
      <c r="F31" s="54"/>
      <c r="G31" s="55"/>
      <c r="H31" s="55"/>
    </row>
    <row r="32" spans="1:8" ht="14.25">
      <c r="A32" s="54"/>
      <c r="B32" s="54"/>
      <c r="C32" s="54"/>
      <c r="D32" s="54"/>
      <c r="E32" s="54"/>
      <c r="F32" s="54"/>
      <c r="G32" s="55"/>
      <c r="H32" s="55"/>
    </row>
    <row r="33" spans="1:8" ht="15">
      <c r="A33" s="54"/>
      <c r="B33" s="54"/>
      <c r="C33" s="63"/>
      <c r="D33" s="64" t="s">
        <v>788</v>
      </c>
      <c r="E33" s="54"/>
      <c r="F33" s="54"/>
      <c r="G33" s="55"/>
      <c r="H33" s="55"/>
    </row>
    <row r="34" spans="1:8" ht="15">
      <c r="A34" s="54"/>
      <c r="B34" s="54"/>
      <c r="C34" s="63"/>
      <c r="D34" s="64" t="s">
        <v>1068</v>
      </c>
      <c r="E34" s="54"/>
      <c r="F34" s="54"/>
      <c r="G34" s="55"/>
      <c r="H34" s="55"/>
    </row>
    <row r="35" spans="1:8" ht="15">
      <c r="A35" s="54"/>
      <c r="B35" s="54"/>
      <c r="C35" s="63"/>
      <c r="D35" s="64" t="s">
        <v>789</v>
      </c>
      <c r="E35" s="54"/>
      <c r="F35" s="54"/>
      <c r="G35" s="55"/>
      <c r="H35" s="55"/>
    </row>
    <row r="36" spans="1:8" ht="15">
      <c r="A36" s="54"/>
      <c r="B36" s="54"/>
      <c r="C36" s="63"/>
      <c r="D36" s="64" t="s">
        <v>790</v>
      </c>
      <c r="E36" s="54"/>
      <c r="F36" s="54"/>
      <c r="G36" s="55"/>
      <c r="H36" s="55"/>
    </row>
    <row r="37" spans="1:8" ht="15">
      <c r="A37" s="54"/>
      <c r="B37" s="54"/>
      <c r="C37" s="63"/>
      <c r="D37" s="64" t="s">
        <v>792</v>
      </c>
      <c r="E37" s="54"/>
      <c r="F37" s="54"/>
      <c r="G37" s="55"/>
      <c r="H37" s="55"/>
    </row>
    <row r="38" spans="1:8" ht="15">
      <c r="A38" s="54"/>
      <c r="B38" s="54"/>
      <c r="C38" s="63"/>
      <c r="D38" s="64" t="s">
        <v>791</v>
      </c>
      <c r="E38" s="54"/>
      <c r="F38" s="54"/>
      <c r="G38" s="55"/>
      <c r="H38" s="55"/>
    </row>
    <row r="39" spans="1:8" ht="14.25">
      <c r="A39" s="54"/>
      <c r="B39" s="54"/>
      <c r="C39" s="54"/>
      <c r="D39" s="54"/>
      <c r="E39" s="54"/>
      <c r="F39" s="54"/>
      <c r="G39" s="55"/>
      <c r="H39" s="55"/>
    </row>
    <row r="40" spans="1:8" ht="14.25">
      <c r="A40" s="53"/>
      <c r="B40" s="54"/>
      <c r="C40" s="54" t="s">
        <v>321</v>
      </c>
      <c r="D40" s="54"/>
      <c r="E40" s="54"/>
      <c r="F40" s="54"/>
      <c r="G40" s="55"/>
      <c r="H40" s="55"/>
    </row>
    <row r="41" spans="1:8" ht="14.25">
      <c r="A41" s="54"/>
      <c r="B41" s="54"/>
      <c r="C41" s="54"/>
      <c r="D41" s="54"/>
      <c r="E41" s="54"/>
      <c r="F41" s="54"/>
      <c r="G41" s="55"/>
      <c r="H41" s="55"/>
    </row>
    <row r="42" spans="1:8" ht="15">
      <c r="A42" s="53"/>
      <c r="B42" s="54"/>
      <c r="C42" s="56" t="s">
        <v>278</v>
      </c>
      <c r="D42" s="54"/>
      <c r="E42" s="54"/>
      <c r="F42" s="54"/>
      <c r="G42" s="55"/>
      <c r="H42" s="55"/>
    </row>
    <row r="43" spans="1:8" ht="14.25">
      <c r="A43" s="53"/>
      <c r="B43" s="54"/>
      <c r="C43" s="65" t="s">
        <v>966</v>
      </c>
      <c r="D43" s="54"/>
      <c r="E43" s="54"/>
      <c r="F43" s="54"/>
      <c r="G43" s="55"/>
      <c r="H43" s="55"/>
    </row>
    <row r="44" spans="1:8" ht="14.25">
      <c r="A44" s="54"/>
      <c r="B44" s="54"/>
      <c r="C44" s="53"/>
      <c r="D44" s="54"/>
      <c r="E44" s="54"/>
      <c r="F44" s="54"/>
      <c r="G44" s="55"/>
      <c r="H44" s="55"/>
    </row>
    <row r="45" spans="1:8" ht="14.25">
      <c r="A45" s="54"/>
      <c r="B45" s="54"/>
      <c r="C45" s="54"/>
      <c r="D45" s="54"/>
      <c r="E45" s="54"/>
      <c r="F45" s="54"/>
      <c r="G45" s="55"/>
      <c r="H45" s="55"/>
    </row>
    <row r="46" spans="1:8" ht="15">
      <c r="A46" s="54" t="s">
        <v>236</v>
      </c>
      <c r="B46" s="54"/>
      <c r="C46" s="54"/>
      <c r="D46" s="56" t="str">
        <f>"Landschaftsverband "&amp;IF(Landesteil="Westfalen-Lippe","Westfalen-Lippe","Rheinland")</f>
        <v>Landschaftsverband Rheinland</v>
      </c>
      <c r="E46" s="54"/>
      <c r="F46" s="54"/>
      <c r="G46" s="55"/>
      <c r="H46" s="55"/>
    </row>
    <row r="47" spans="1:8" ht="14.25">
      <c r="A47" s="54"/>
      <c r="B47" s="54"/>
      <c r="C47" s="54"/>
      <c r="D47" s="54" t="s">
        <v>348</v>
      </c>
      <c r="E47" s="54"/>
      <c r="F47" s="54"/>
      <c r="G47" s="55"/>
      <c r="H47" s="55"/>
    </row>
    <row r="48" spans="1:8" ht="14.25">
      <c r="A48" s="54"/>
      <c r="B48" s="54"/>
      <c r="C48" s="54"/>
      <c r="D48" s="54"/>
      <c r="E48" s="54"/>
      <c r="F48" s="54"/>
      <c r="G48" s="55"/>
      <c r="H48" s="66" t="s">
        <v>742</v>
      </c>
    </row>
    <row r="49" spans="1:8" ht="15">
      <c r="A49" s="54" t="s">
        <v>1327</v>
      </c>
      <c r="B49" s="54"/>
      <c r="C49" s="54"/>
      <c r="D49" s="54"/>
      <c r="E49" s="54"/>
      <c r="F49" s="54"/>
      <c r="G49" s="55"/>
      <c r="H49" s="55"/>
    </row>
    <row r="50" spans="1:8" ht="14.25">
      <c r="A50" s="54"/>
      <c r="B50" s="54"/>
      <c r="C50" s="54"/>
      <c r="D50" s="54"/>
      <c r="E50" s="54"/>
      <c r="F50" s="54"/>
      <c r="G50" s="55"/>
      <c r="H50" s="55"/>
    </row>
    <row r="51" spans="1:8" ht="14.25">
      <c r="A51" s="54"/>
      <c r="B51" s="54"/>
      <c r="C51" s="54"/>
      <c r="D51" s="54"/>
      <c r="E51" s="54"/>
      <c r="F51" s="54"/>
      <c r="G51" s="55"/>
      <c r="H51" s="55"/>
    </row>
    <row r="52" spans="1:8" ht="14.25">
      <c r="A52" s="54"/>
      <c r="B52" s="54"/>
      <c r="C52" s="54"/>
      <c r="D52" s="54"/>
      <c r="E52" s="54"/>
      <c r="F52" s="54"/>
      <c r="G52" s="55"/>
      <c r="H52" s="55"/>
    </row>
    <row r="53" spans="1:8" ht="14.25">
      <c r="A53" s="54"/>
      <c r="B53" s="54"/>
      <c r="C53" s="54"/>
      <c r="D53" s="54"/>
      <c r="E53" s="54"/>
      <c r="F53" s="54"/>
      <c r="G53" s="55"/>
      <c r="H53" s="55"/>
    </row>
    <row r="54" spans="1:8" ht="14.25">
      <c r="A54" s="4623" t="s">
        <v>106</v>
      </c>
      <c r="B54" s="4623"/>
      <c r="C54" s="4623"/>
      <c r="D54" s="4623"/>
      <c r="E54" s="4623"/>
      <c r="F54" s="4623"/>
      <c r="G54" s="4623"/>
      <c r="H54" s="4623"/>
    </row>
    <row r="55" spans="1:8" ht="14.25">
      <c r="A55" s="538"/>
      <c r="B55" s="538"/>
      <c r="C55" s="538"/>
      <c r="D55" s="538"/>
      <c r="E55" s="538"/>
      <c r="F55" s="538"/>
      <c r="G55" s="538"/>
      <c r="H55" s="538"/>
    </row>
    <row r="56" spans="1:8" ht="14.25">
      <c r="A56" s="538"/>
      <c r="B56" s="538"/>
      <c r="C56" s="538"/>
      <c r="D56" s="538"/>
      <c r="E56" s="538"/>
      <c r="F56" s="538"/>
      <c r="G56" s="538"/>
      <c r="H56" s="538"/>
    </row>
    <row r="57" spans="1:8" ht="14.25">
      <c r="A57" s="67"/>
      <c r="B57" s="67"/>
      <c r="C57" s="67"/>
      <c r="D57" s="67"/>
      <c r="E57" s="67"/>
      <c r="F57" s="67"/>
      <c r="G57" s="67"/>
      <c r="H57" s="67"/>
    </row>
    <row r="58" spans="1:8" ht="15">
      <c r="A58" s="4641" t="s">
        <v>2331</v>
      </c>
      <c r="B58" s="4641"/>
      <c r="C58" s="4641"/>
      <c r="D58" s="4641"/>
      <c r="E58" s="4641"/>
      <c r="F58" s="4641"/>
      <c r="G58" s="4641"/>
      <c r="H58" s="4641"/>
    </row>
    <row r="59" spans="1:8" ht="14.25">
      <c r="A59" s="54"/>
      <c r="B59" s="54"/>
      <c r="C59" s="54"/>
      <c r="D59" s="54"/>
      <c r="E59" s="54"/>
      <c r="F59" s="54"/>
      <c r="G59" s="54"/>
      <c r="H59" s="54"/>
    </row>
    <row r="60" spans="1:8" ht="14.25">
      <c r="A60" s="54" t="s">
        <v>1328</v>
      </c>
      <c r="B60" s="54"/>
      <c r="C60" s="54"/>
      <c r="D60" s="54"/>
      <c r="E60" s="54"/>
      <c r="F60" s="54"/>
      <c r="G60" s="54"/>
      <c r="H60" s="54"/>
    </row>
    <row r="61" spans="1:8" ht="14.25">
      <c r="A61" s="54" t="s">
        <v>1329</v>
      </c>
      <c r="B61" s="54"/>
      <c r="C61" s="54"/>
      <c r="D61" s="54"/>
      <c r="E61" s="54"/>
      <c r="F61" s="54"/>
      <c r="G61" s="54"/>
      <c r="H61" s="54"/>
    </row>
    <row r="62" spans="1:8" ht="14.25">
      <c r="A62" s="54" t="s">
        <v>1330</v>
      </c>
      <c r="B62" s="54"/>
      <c r="C62" s="54"/>
      <c r="D62" s="54"/>
      <c r="E62" s="54"/>
      <c r="F62" s="54"/>
      <c r="G62" s="54"/>
      <c r="H62" s="54"/>
    </row>
    <row r="63" spans="1:8" ht="14.25">
      <c r="A63" s="54" t="s">
        <v>1331</v>
      </c>
      <c r="B63" s="54"/>
      <c r="C63" s="54"/>
      <c r="D63" s="54"/>
      <c r="E63" s="54"/>
      <c r="F63" s="54"/>
      <c r="G63" s="54"/>
      <c r="H63" s="54"/>
    </row>
    <row r="64" spans="1:8" ht="14.25">
      <c r="A64" s="54" t="s">
        <v>1332</v>
      </c>
      <c r="B64" s="54"/>
      <c r="C64" s="54"/>
      <c r="D64" s="54"/>
      <c r="E64" s="54"/>
      <c r="F64" s="54"/>
      <c r="G64" s="54"/>
      <c r="H64" s="54"/>
    </row>
    <row r="65" spans="1:8" ht="14.25">
      <c r="A65" s="54"/>
      <c r="B65" s="54"/>
      <c r="C65" s="54"/>
      <c r="D65" s="54"/>
      <c r="E65" s="54"/>
      <c r="F65" s="54"/>
      <c r="G65" s="54"/>
      <c r="H65" s="54"/>
    </row>
    <row r="66" spans="1:8" ht="14.25">
      <c r="A66" s="54" t="s">
        <v>1333</v>
      </c>
      <c r="B66" s="54"/>
      <c r="C66" s="54"/>
      <c r="D66" s="54"/>
      <c r="E66" s="54"/>
      <c r="F66" s="54"/>
      <c r="G66" s="54"/>
      <c r="H66" s="54"/>
    </row>
    <row r="67" spans="1:8" ht="14.25">
      <c r="A67" s="54" t="s">
        <v>1334</v>
      </c>
      <c r="B67" s="54"/>
      <c r="C67" s="54"/>
      <c r="D67" s="54"/>
      <c r="E67" s="54"/>
      <c r="F67" s="54"/>
      <c r="G67" s="54"/>
      <c r="H67" s="54"/>
    </row>
    <row r="68" spans="1:8" ht="14.25">
      <c r="A68" s="54" t="s">
        <v>1335</v>
      </c>
      <c r="B68" s="54"/>
      <c r="C68" s="54"/>
      <c r="D68" s="54"/>
      <c r="E68" s="54"/>
      <c r="F68" s="54"/>
      <c r="G68" s="54"/>
      <c r="H68" s="54"/>
    </row>
    <row r="69" spans="1:8" ht="14.25">
      <c r="A69" s="54" t="s">
        <v>1336</v>
      </c>
      <c r="B69" s="54"/>
      <c r="C69" s="54"/>
      <c r="D69" s="54"/>
      <c r="E69" s="54"/>
      <c r="F69" s="54"/>
      <c r="G69" s="54"/>
      <c r="H69" s="54"/>
    </row>
    <row r="70" spans="1:8" ht="14.25">
      <c r="A70" s="54" t="s">
        <v>1337</v>
      </c>
      <c r="B70" s="54"/>
      <c r="C70" s="54"/>
      <c r="D70" s="54"/>
      <c r="E70" s="54"/>
      <c r="F70" s="54"/>
      <c r="G70" s="54"/>
      <c r="H70" s="54"/>
    </row>
    <row r="71" spans="1:8" ht="14.25">
      <c r="A71" s="54"/>
      <c r="B71" s="54"/>
      <c r="C71" s="54"/>
      <c r="D71" s="54"/>
      <c r="E71" s="54"/>
      <c r="F71" s="54"/>
      <c r="G71" s="54"/>
      <c r="H71" s="54"/>
    </row>
    <row r="72" spans="1:8" ht="14.25">
      <c r="A72" s="54"/>
      <c r="B72" s="54"/>
      <c r="C72" s="54"/>
      <c r="D72" s="54"/>
      <c r="E72" s="54"/>
      <c r="F72" s="54"/>
      <c r="G72" s="54"/>
      <c r="H72" s="54"/>
    </row>
    <row r="73" spans="1:8" ht="15">
      <c r="A73" s="4641" t="s">
        <v>2327</v>
      </c>
      <c r="B73" s="4641"/>
      <c r="C73" s="4641"/>
      <c r="D73" s="4641"/>
      <c r="E73" s="4641"/>
      <c r="F73" s="4641"/>
      <c r="G73" s="4641"/>
      <c r="H73" s="4641"/>
    </row>
    <row r="74" spans="1:8" ht="14.25">
      <c r="A74" s="54"/>
      <c r="B74" s="54"/>
      <c r="C74" s="54"/>
      <c r="D74" s="54"/>
      <c r="E74" s="54"/>
      <c r="F74" s="54"/>
      <c r="G74" s="54"/>
      <c r="H74" s="54"/>
    </row>
    <row r="75" spans="1:8" ht="14.25">
      <c r="A75" s="590" t="str">
        <f>"Von den " &amp;'Copy &amp; Paste'!H12&amp;" eingestreuten Kurzzeitpflegeplätzen werden "&amp;'Copy &amp; Paste'!I12&amp;" feste"</f>
        <v>Von den  eingestreuten Kurzzeitpflegeplätzen werden  feste</v>
      </c>
      <c r="B75" s="54"/>
      <c r="C75" s="54"/>
      <c r="D75" s="54"/>
      <c r="E75" s="54"/>
      <c r="F75" s="54"/>
      <c r="G75" s="54"/>
      <c r="H75" s="54"/>
    </row>
    <row r="76" spans="1:8" ht="14.25">
      <c r="A76" s="54" t="s">
        <v>2325</v>
      </c>
      <c r="B76" s="54"/>
      <c r="C76" s="54"/>
      <c r="D76" s="54"/>
      <c r="E76" s="54"/>
      <c r="F76" s="54"/>
      <c r="G76" s="54"/>
      <c r="H76" s="54"/>
    </row>
    <row r="77" spans="1:8" ht="14.25">
      <c r="A77" s="54" t="s">
        <v>1338</v>
      </c>
      <c r="B77" s="54"/>
      <c r="C77" s="54"/>
      <c r="D77" s="54"/>
      <c r="E77" s="54"/>
      <c r="F77" s="54"/>
      <c r="G77" s="54"/>
      <c r="H77" s="54"/>
    </row>
    <row r="78" spans="1:8" ht="14.25">
      <c r="A78" s="54" t="s">
        <v>2326</v>
      </c>
      <c r="B78" s="54"/>
      <c r="C78" s="54"/>
      <c r="D78" s="54"/>
      <c r="E78" s="54"/>
      <c r="F78" s="54"/>
      <c r="G78" s="54"/>
      <c r="H78" s="54"/>
    </row>
    <row r="79" spans="1:8" ht="14.25">
      <c r="A79" s="54" t="s">
        <v>1339</v>
      </c>
      <c r="B79" s="54"/>
      <c r="C79" s="54"/>
      <c r="D79" s="54"/>
      <c r="E79" s="54"/>
      <c r="F79" s="54"/>
      <c r="G79" s="54"/>
      <c r="H79" s="54"/>
    </row>
    <row r="80" spans="1:8" ht="14.25">
      <c r="A80" s="54"/>
      <c r="B80" s="54"/>
      <c r="C80" s="54"/>
      <c r="D80" s="54"/>
      <c r="E80" s="54"/>
      <c r="F80" s="54"/>
      <c r="G80" s="54"/>
      <c r="H80" s="54"/>
    </row>
    <row r="81" spans="1:8" ht="14.25">
      <c r="A81" s="54"/>
      <c r="B81" s="54"/>
      <c r="C81" s="54"/>
      <c r="D81" s="54"/>
      <c r="E81" s="54"/>
      <c r="F81" s="54"/>
      <c r="G81" s="54"/>
      <c r="H81" s="54"/>
    </row>
    <row r="82" spans="1:8" ht="15">
      <c r="A82" s="4646" t="s">
        <v>2328</v>
      </c>
      <c r="B82" s="4646"/>
      <c r="C82" s="4646"/>
      <c r="D82" s="4646"/>
      <c r="E82" s="4646"/>
      <c r="F82" s="4646"/>
      <c r="G82" s="4646"/>
      <c r="H82" s="4646"/>
    </row>
    <row r="83" spans="1:8" ht="14.25">
      <c r="A83" s="54"/>
      <c r="B83" s="54"/>
      <c r="C83" s="54"/>
      <c r="D83" s="54"/>
      <c r="E83" s="54"/>
      <c r="F83" s="54"/>
      <c r="G83" s="54"/>
      <c r="H83" s="54"/>
    </row>
    <row r="84" spans="1:8" ht="14.25">
      <c r="A84" s="54" t="s">
        <v>1340</v>
      </c>
      <c r="B84" s="54"/>
      <c r="C84" s="54"/>
      <c r="D84" s="54"/>
      <c r="E84" s="54"/>
      <c r="F84" s="54"/>
      <c r="G84" s="54"/>
      <c r="H84" s="54"/>
    </row>
    <row r="85" spans="1:8" ht="14.25">
      <c r="A85" s="54" t="s">
        <v>1341</v>
      </c>
      <c r="B85" s="54"/>
      <c r="C85" s="54"/>
      <c r="D85" s="54"/>
      <c r="E85" s="54"/>
      <c r="F85" s="54"/>
      <c r="G85" s="54"/>
      <c r="H85" s="54"/>
    </row>
    <row r="86" spans="1:8" ht="14.25">
      <c r="A86" s="54"/>
      <c r="B86" s="54"/>
      <c r="C86" s="54"/>
      <c r="D86" s="54"/>
      <c r="E86" s="54"/>
      <c r="F86" s="54"/>
      <c r="G86" s="54"/>
      <c r="H86" s="54"/>
    </row>
    <row r="87" spans="1:8" ht="15">
      <c r="A87" s="4641" t="s">
        <v>1342</v>
      </c>
      <c r="B87" s="4641"/>
      <c r="C87" s="4641"/>
      <c r="D87" s="4641"/>
      <c r="E87" s="4641"/>
      <c r="F87" s="4641"/>
      <c r="G87" s="4641"/>
      <c r="H87" s="4641"/>
    </row>
    <row r="88" spans="1:8" ht="14.25">
      <c r="A88" s="54"/>
      <c r="B88" s="54"/>
      <c r="C88" s="54"/>
      <c r="D88" s="54"/>
      <c r="E88" s="54"/>
      <c r="F88" s="54"/>
      <c r="G88" s="54"/>
      <c r="H88" s="54"/>
    </row>
    <row r="89" spans="1:8" ht="14.25">
      <c r="A89" s="54" t="s">
        <v>1343</v>
      </c>
      <c r="B89" s="54"/>
      <c r="C89" s="54"/>
      <c r="D89" s="54"/>
      <c r="E89" s="54"/>
      <c r="F89" s="54"/>
      <c r="G89" s="54"/>
      <c r="H89" s="54"/>
    </row>
    <row r="90" spans="1:8" ht="14.25">
      <c r="A90" s="93"/>
      <c r="B90" s="93"/>
      <c r="C90" s="93"/>
      <c r="D90" s="93"/>
      <c r="E90" s="54"/>
      <c r="F90" s="54"/>
      <c r="G90" s="54"/>
      <c r="H90" s="54"/>
    </row>
    <row r="91" spans="1:8" ht="14.25">
      <c r="A91" s="54"/>
      <c r="B91" s="54"/>
      <c r="C91" s="54"/>
      <c r="D91" s="54"/>
      <c r="E91" s="54"/>
      <c r="F91" s="54"/>
      <c r="G91" s="54"/>
      <c r="H91" s="54"/>
    </row>
    <row r="92" spans="1:8" ht="10.5" customHeight="1">
      <c r="A92" s="2829"/>
      <c r="B92" s="2829"/>
      <c r="C92" s="2829"/>
      <c r="D92" s="2829"/>
      <c r="E92" s="53"/>
      <c r="F92" s="53"/>
      <c r="G92" s="53"/>
      <c r="H92" s="53"/>
    </row>
    <row r="93" spans="1:8" ht="21" customHeight="1">
      <c r="A93" s="2829"/>
      <c r="B93" s="2829"/>
      <c r="C93" s="2829"/>
      <c r="D93" s="2829"/>
      <c r="E93" s="53"/>
      <c r="F93" s="53"/>
      <c r="G93" s="53"/>
      <c r="H93" s="53"/>
    </row>
    <row r="94" spans="1:8">
      <c r="A94" s="53"/>
      <c r="B94" s="53"/>
      <c r="C94" s="53"/>
      <c r="D94" s="53"/>
      <c r="E94" s="53"/>
      <c r="F94" s="53"/>
      <c r="G94" s="53"/>
      <c r="H94" s="53"/>
    </row>
    <row r="95" spans="1:8" ht="14.25">
      <c r="A95" s="54"/>
      <c r="B95" s="54"/>
      <c r="C95" s="54"/>
      <c r="D95" s="54"/>
      <c r="E95" s="54"/>
      <c r="F95" s="54"/>
      <c r="G95" s="54"/>
      <c r="H95" s="54"/>
    </row>
    <row r="96" spans="1:8" ht="14.25">
      <c r="A96" s="54"/>
      <c r="B96" s="54"/>
      <c r="C96" s="54"/>
      <c r="D96" s="54"/>
      <c r="E96" s="54"/>
      <c r="F96" s="54"/>
      <c r="G96" s="54"/>
      <c r="H96" s="54"/>
    </row>
    <row r="97" spans="1:8" ht="14.25">
      <c r="A97" s="4623" t="s">
        <v>299</v>
      </c>
      <c r="B97" s="4623"/>
      <c r="C97" s="4623"/>
      <c r="D97" s="4623"/>
      <c r="E97" s="4623"/>
      <c r="F97" s="4623"/>
      <c r="G97" s="4623"/>
      <c r="H97" s="4623"/>
    </row>
    <row r="98" spans="1:8" ht="14.25">
      <c r="A98" s="54"/>
      <c r="B98" s="54"/>
      <c r="C98" s="54"/>
      <c r="D98" s="54"/>
      <c r="E98" s="54"/>
      <c r="F98" s="54"/>
      <c r="G98" s="54"/>
      <c r="H98" s="54"/>
    </row>
    <row r="99" spans="1:8" ht="15">
      <c r="A99" s="4641" t="s">
        <v>2329</v>
      </c>
      <c r="B99" s="4641"/>
      <c r="C99" s="4641"/>
      <c r="D99" s="4641"/>
      <c r="E99" s="4641"/>
      <c r="F99" s="4641"/>
      <c r="G99" s="4641"/>
      <c r="H99" s="4641"/>
    </row>
    <row r="100" spans="1:8" ht="14.25">
      <c r="A100" s="54"/>
      <c r="B100" s="54"/>
      <c r="C100" s="54"/>
      <c r="D100" s="54"/>
      <c r="E100" s="54"/>
      <c r="F100" s="54"/>
      <c r="G100" s="54"/>
      <c r="H100" s="54"/>
    </row>
    <row r="101" spans="1:8" ht="14.25">
      <c r="A101" s="77" t="s">
        <v>1362</v>
      </c>
      <c r="B101" s="54" t="s">
        <v>1344</v>
      </c>
      <c r="C101" s="54"/>
      <c r="D101" s="54"/>
      <c r="E101" s="54"/>
      <c r="F101" s="54"/>
      <c r="G101" s="54"/>
      <c r="H101" s="54"/>
    </row>
    <row r="102" spans="1:8" ht="14.25">
      <c r="A102" s="54"/>
      <c r="B102" s="54" t="s">
        <v>1345</v>
      </c>
      <c r="C102" s="54"/>
      <c r="D102" s="54"/>
      <c r="E102" s="54"/>
      <c r="F102" s="54"/>
      <c r="G102" s="54"/>
      <c r="H102" s="54"/>
    </row>
    <row r="103" spans="1:8" ht="14.25">
      <c r="A103" s="54"/>
      <c r="B103" s="54" t="s">
        <v>1346</v>
      </c>
      <c r="C103" s="54"/>
      <c r="D103" s="54"/>
      <c r="E103" s="54"/>
      <c r="F103" s="54"/>
      <c r="G103" s="54"/>
      <c r="H103" s="54"/>
    </row>
    <row r="104" spans="1:8" ht="14.25">
      <c r="A104" s="54"/>
      <c r="B104" s="54"/>
      <c r="C104" s="54"/>
      <c r="D104" s="54"/>
      <c r="E104" s="54"/>
      <c r="F104" s="54"/>
      <c r="G104" s="54"/>
      <c r="H104" s="54"/>
    </row>
    <row r="105" spans="1:8" ht="14.25" customHeight="1">
      <c r="A105" s="54"/>
      <c r="B105" s="54"/>
      <c r="C105" s="65" t="s">
        <v>1214</v>
      </c>
      <c r="D105" s="4642" t="s">
        <v>1015</v>
      </c>
      <c r="E105" s="4642"/>
      <c r="F105" s="4642"/>
      <c r="G105" s="4642"/>
      <c r="H105" s="450" t="s">
        <v>1215</v>
      </c>
    </row>
    <row r="106" spans="1:8" ht="14.25">
      <c r="A106" s="54"/>
      <c r="B106" s="54"/>
      <c r="C106" s="54"/>
      <c r="D106" s="54"/>
      <c r="E106" s="54"/>
      <c r="F106" s="54"/>
      <c r="G106" s="54"/>
      <c r="H106" s="70"/>
    </row>
    <row r="107" spans="1:8" ht="15.75">
      <c r="A107" s="54"/>
      <c r="B107" s="53"/>
      <c r="C107" s="54" t="s">
        <v>811</v>
      </c>
      <c r="D107" s="451"/>
      <c r="E107" s="589" t="e">
        <f>FIXED(Protokoll!$B$51,2)</f>
        <v>#VALUE!</v>
      </c>
      <c r="F107" s="588" t="s">
        <v>929</v>
      </c>
      <c r="G107" s="53"/>
      <c r="H107" s="541">
        <v>404000</v>
      </c>
    </row>
    <row r="108" spans="1:8" ht="15.75">
      <c r="A108" s="54"/>
      <c r="B108" s="53"/>
      <c r="C108" s="54" t="s">
        <v>812</v>
      </c>
      <c r="D108" s="451"/>
      <c r="E108" s="589" t="e">
        <f>FIXED(Protokoll!$C$51,2)</f>
        <v>#VALUE!</v>
      </c>
      <c r="F108" s="588" t="s">
        <v>929</v>
      </c>
      <c r="G108" s="53"/>
      <c r="H108" s="541">
        <v>404000</v>
      </c>
    </row>
    <row r="109" spans="1:8" ht="15.75">
      <c r="A109" s="54"/>
      <c r="B109" s="53"/>
      <c r="C109" s="54" t="s">
        <v>813</v>
      </c>
      <c r="D109" s="451"/>
      <c r="E109" s="589" t="e">
        <f>FIXED(Protokoll!$D$51,2)</f>
        <v>#VALUE!</v>
      </c>
      <c r="F109" s="588" t="s">
        <v>929</v>
      </c>
      <c r="G109" s="53"/>
      <c r="H109" s="541">
        <v>404000</v>
      </c>
    </row>
    <row r="110" spans="1:8" ht="15.75">
      <c r="A110" s="54"/>
      <c r="B110" s="53"/>
      <c r="C110" s="54" t="s">
        <v>814</v>
      </c>
      <c r="D110" s="451"/>
      <c r="E110" s="587" t="e">
        <f>FIXED(Protokoll!$E$51,2)</f>
        <v>#VALUE!</v>
      </c>
      <c r="F110" s="588" t="s">
        <v>929</v>
      </c>
      <c r="G110" s="53"/>
      <c r="H110" s="541">
        <v>404000</v>
      </c>
    </row>
    <row r="111" spans="1:8" ht="15.75">
      <c r="A111" s="537"/>
      <c r="B111" s="538"/>
      <c r="C111" s="54" t="s">
        <v>815</v>
      </c>
      <c r="D111" s="451"/>
      <c r="E111" s="587" t="e">
        <f>FIXED(Protokoll!$F$51,2)</f>
        <v>#VALUE!</v>
      </c>
      <c r="F111" s="588" t="s">
        <v>931</v>
      </c>
      <c r="G111" s="53"/>
      <c r="H111" s="541">
        <v>404000</v>
      </c>
    </row>
    <row r="112" spans="1:8" ht="15.75">
      <c r="A112" s="3246"/>
      <c r="B112" s="3245"/>
      <c r="C112" s="54"/>
      <c r="D112" s="451"/>
      <c r="E112" s="587"/>
      <c r="F112" s="588"/>
      <c r="G112" s="53"/>
      <c r="H112" s="541"/>
    </row>
    <row r="113" spans="1:8" ht="15.75">
      <c r="A113" s="63" t="s">
        <v>1363</v>
      </c>
      <c r="B113" s="54" t="s">
        <v>1364</v>
      </c>
      <c r="C113" s="54"/>
      <c r="D113" s="451"/>
      <c r="E113" s="587"/>
      <c r="F113" s="588"/>
      <c r="G113" s="53"/>
      <c r="H113" s="541"/>
    </row>
    <row r="114" spans="1:8" ht="15.75">
      <c r="A114" s="54"/>
      <c r="B114" s="54" t="s">
        <v>1365</v>
      </c>
      <c r="C114" s="54"/>
      <c r="D114" s="451"/>
      <c r="E114" s="587"/>
      <c r="F114" s="588"/>
      <c r="G114" s="53"/>
      <c r="H114" s="541"/>
    </row>
    <row r="115" spans="1:8" ht="15.75">
      <c r="A115" s="54"/>
      <c r="B115" s="54" t="s">
        <v>1366</v>
      </c>
      <c r="C115" s="54"/>
      <c r="D115" s="451"/>
      <c r="E115" s="587"/>
      <c r="F115" s="588"/>
      <c r="G115" s="53"/>
      <c r="H115" s="541"/>
    </row>
    <row r="116" spans="1:8" ht="15.75">
      <c r="A116" s="54"/>
      <c r="B116" s="54" t="s">
        <v>1367</v>
      </c>
      <c r="C116" s="54"/>
      <c r="D116" s="451"/>
      <c r="E116" s="587"/>
      <c r="F116" s="588"/>
      <c r="G116" s="53"/>
      <c r="H116" s="541"/>
    </row>
    <row r="117" spans="1:8" ht="15.75">
      <c r="A117" s="54"/>
      <c r="B117" s="54" t="s">
        <v>1368</v>
      </c>
      <c r="C117" s="54"/>
      <c r="D117" s="451"/>
      <c r="E117" s="587"/>
      <c r="F117" s="588"/>
      <c r="G117" s="53"/>
      <c r="H117" s="541"/>
    </row>
    <row r="118" spans="1:8" ht="15.75">
      <c r="A118" s="54"/>
      <c r="B118" s="54" t="s">
        <v>1369</v>
      </c>
      <c r="C118" s="54"/>
      <c r="D118" s="451"/>
      <c r="E118" s="587"/>
      <c r="F118" s="588"/>
      <c r="G118" s="53"/>
      <c r="H118" s="541"/>
    </row>
    <row r="119" spans="1:8" ht="15.75">
      <c r="A119" s="3246"/>
      <c r="B119" s="3245"/>
      <c r="C119" s="54"/>
      <c r="D119" s="451"/>
      <c r="E119" s="587"/>
      <c r="F119" s="588"/>
      <c r="G119" s="53"/>
      <c r="H119" s="541"/>
    </row>
    <row r="120" spans="1:8" s="53" customFormat="1" ht="14.25" customHeight="1">
      <c r="A120" s="54"/>
      <c r="B120" s="54"/>
      <c r="C120" s="79"/>
      <c r="D120" s="79"/>
      <c r="E120" s="114" t="e">
        <f>FIXED(Protokoll!$D$51,2)</f>
        <v>#VALUE!</v>
      </c>
      <c r="F120" s="98" t="s">
        <v>929</v>
      </c>
      <c r="G120" s="596" t="s">
        <v>1370</v>
      </c>
      <c r="H120" s="3245"/>
    </row>
    <row r="121" spans="1:8" ht="15.75">
      <c r="A121" s="3246"/>
      <c r="B121" s="3245"/>
      <c r="C121" s="54"/>
      <c r="D121" s="451"/>
      <c r="E121" s="587"/>
      <c r="F121" s="588"/>
      <c r="G121" s="53"/>
      <c r="H121" s="541"/>
    </row>
    <row r="122" spans="1:8" ht="15.75">
      <c r="A122" s="3246"/>
      <c r="B122" s="54" t="s">
        <v>1371</v>
      </c>
      <c r="C122" s="54"/>
      <c r="D122" s="451"/>
      <c r="E122" s="587"/>
      <c r="F122" s="588"/>
      <c r="G122" s="53"/>
      <c r="H122" s="541"/>
    </row>
    <row r="123" spans="1:8" ht="15.75">
      <c r="A123" s="3246"/>
      <c r="B123" s="54" t="s">
        <v>1372</v>
      </c>
      <c r="C123" s="54"/>
      <c r="D123" s="451"/>
      <c r="E123" s="587"/>
      <c r="F123" s="588"/>
      <c r="G123" s="53"/>
      <c r="H123" s="541"/>
    </row>
    <row r="124" spans="1:8" ht="14.25">
      <c r="A124" s="54"/>
      <c r="B124" s="54"/>
      <c r="C124" s="54"/>
      <c r="D124" s="54"/>
      <c r="E124" s="54"/>
      <c r="F124" s="54"/>
      <c r="G124" s="54"/>
      <c r="H124" s="54"/>
    </row>
    <row r="125" spans="1:8" ht="14.25">
      <c r="A125" s="77" t="s">
        <v>1408</v>
      </c>
      <c r="B125" s="54" t="s">
        <v>2042</v>
      </c>
      <c r="C125" s="54"/>
      <c r="D125" s="85"/>
      <c r="E125" s="53"/>
      <c r="F125" s="54"/>
      <c r="G125" s="9"/>
      <c r="H125" s="54"/>
    </row>
    <row r="126" spans="1:8" ht="14.25">
      <c r="A126" s="54"/>
      <c r="B126" s="54" t="s">
        <v>2035</v>
      </c>
      <c r="C126" s="79"/>
      <c r="D126" s="79"/>
      <c r="E126" s="80"/>
      <c r="F126" s="79"/>
      <c r="G126" s="28"/>
      <c r="H126" s="78"/>
    </row>
    <row r="127" spans="1:8" ht="14.25">
      <c r="A127" s="54"/>
      <c r="B127" s="54" t="s">
        <v>2017</v>
      </c>
      <c r="C127" s="54"/>
      <c r="D127" s="85"/>
      <c r="E127" s="53"/>
      <c r="F127" s="54"/>
      <c r="G127" s="9"/>
      <c r="H127" s="54"/>
    </row>
    <row r="128" spans="1:8" ht="14.25">
      <c r="A128" s="54"/>
      <c r="B128" s="54" t="s">
        <v>2018</v>
      </c>
      <c r="C128" s="79"/>
      <c r="D128" s="79"/>
      <c r="E128" s="80"/>
      <c r="F128" s="79"/>
      <c r="G128" s="28"/>
      <c r="H128" s="78"/>
    </row>
    <row r="129" spans="1:14" ht="14.25">
      <c r="A129" s="54"/>
      <c r="B129" s="54" t="s">
        <v>2036</v>
      </c>
      <c r="C129" s="538"/>
      <c r="D129" s="85"/>
      <c r="E129" s="538"/>
      <c r="F129" s="538"/>
      <c r="G129" s="9"/>
      <c r="H129" s="538"/>
    </row>
    <row r="130" spans="1:14" ht="14.25">
      <c r="A130" s="54"/>
      <c r="B130" s="54" t="s">
        <v>2037</v>
      </c>
      <c r="C130" s="79"/>
      <c r="D130" s="79"/>
      <c r="E130" s="80"/>
      <c r="F130" s="79"/>
      <c r="G130" s="28"/>
      <c r="H130" s="86"/>
    </row>
    <row r="131" spans="1:14" ht="14.25">
      <c r="A131" s="54"/>
      <c r="B131" s="54"/>
      <c r="C131" s="79"/>
      <c r="D131" s="79"/>
      <c r="E131" s="80"/>
      <c r="F131" s="79"/>
      <c r="G131" s="28"/>
      <c r="H131" s="86"/>
    </row>
    <row r="132" spans="1:14" ht="14.25">
      <c r="A132" s="63" t="s">
        <v>1429</v>
      </c>
      <c r="B132" s="54" t="s">
        <v>2038</v>
      </c>
      <c r="C132" s="65"/>
      <c r="D132" s="79"/>
      <c r="E132" s="80"/>
      <c r="F132" s="79"/>
      <c r="G132" s="28"/>
      <c r="H132" s="86"/>
    </row>
    <row r="133" spans="1:14" ht="14.25">
      <c r="A133" s="54"/>
      <c r="B133" s="54" t="s">
        <v>2039</v>
      </c>
      <c r="C133" s="65"/>
      <c r="D133" s="79"/>
      <c r="E133" s="80"/>
      <c r="F133" s="79"/>
      <c r="G133" s="28"/>
      <c r="H133" s="86"/>
    </row>
    <row r="134" spans="1:14" ht="14.25">
      <c r="A134" s="54"/>
      <c r="B134" s="54" t="s">
        <v>2040</v>
      </c>
      <c r="C134" s="65"/>
      <c r="D134" s="79"/>
      <c r="E134" s="80"/>
      <c r="F134" s="79"/>
      <c r="G134" s="28"/>
      <c r="H134" s="86"/>
    </row>
    <row r="135" spans="1:14" ht="14.25">
      <c r="A135" s="54"/>
      <c r="B135" s="54"/>
      <c r="C135" s="79"/>
      <c r="D135" s="79"/>
      <c r="E135" s="80"/>
      <c r="F135" s="79"/>
      <c r="G135" s="28"/>
      <c r="H135" s="86"/>
    </row>
    <row r="136" spans="1:14" s="55" customFormat="1" ht="15">
      <c r="A136" s="54"/>
      <c r="B136" s="54"/>
      <c r="C136" s="65"/>
      <c r="D136" s="65"/>
      <c r="E136" s="3248" t="e">
        <f>Ergebnis!H28</f>
        <v>#VALUE!</v>
      </c>
      <c r="F136" s="3249" t="s">
        <v>929</v>
      </c>
      <c r="G136" s="3250" t="s">
        <v>2032</v>
      </c>
      <c r="H136" s="3251" t="str">
        <f>(Ergebnis!E28)&amp;" VK Auszubildende(n)"</f>
        <v>0 VK Auszubildende(n)</v>
      </c>
      <c r="N136" s="3252"/>
    </row>
    <row r="137" spans="1:14" ht="14.25">
      <c r="A137" s="54"/>
      <c r="B137" s="54"/>
      <c r="C137" s="79"/>
      <c r="D137" s="79"/>
      <c r="E137" s="80"/>
      <c r="F137" s="79"/>
      <c r="G137" s="28"/>
      <c r="H137" s="86"/>
    </row>
    <row r="138" spans="1:14" ht="14.25">
      <c r="A138" s="54"/>
      <c r="B138" s="54" t="s">
        <v>2029</v>
      </c>
      <c r="C138" s="79"/>
      <c r="D138" s="79"/>
      <c r="E138" s="80"/>
      <c r="F138" s="79"/>
      <c r="G138" s="28"/>
      <c r="H138" s="86"/>
    </row>
    <row r="139" spans="1:14" ht="14.25">
      <c r="A139" s="54"/>
      <c r="B139" s="54" t="s">
        <v>2030</v>
      </c>
      <c r="C139" s="79"/>
      <c r="D139" s="79"/>
      <c r="E139" s="80"/>
      <c r="F139" s="79"/>
      <c r="G139" s="28"/>
      <c r="H139" s="86"/>
    </row>
    <row r="140" spans="1:14" ht="14.25">
      <c r="A140" s="54"/>
      <c r="B140" s="54" t="s">
        <v>2031</v>
      </c>
      <c r="C140" s="79"/>
      <c r="D140" s="79"/>
      <c r="E140" s="80"/>
      <c r="F140" s="79"/>
      <c r="G140" s="28"/>
      <c r="H140" s="86"/>
    </row>
    <row r="141" spans="1:14" ht="14.25">
      <c r="A141" s="54"/>
      <c r="B141" s="54"/>
      <c r="C141" s="54"/>
      <c r="D141" s="54"/>
      <c r="E141" s="54"/>
      <c r="F141" s="54"/>
      <c r="G141" s="54"/>
      <c r="H141" s="54"/>
    </row>
    <row r="142" spans="1:14" ht="14.25">
      <c r="A142" s="54"/>
      <c r="B142" s="54"/>
      <c r="C142" s="54"/>
      <c r="D142" s="54"/>
      <c r="E142" s="54"/>
      <c r="F142" s="54"/>
      <c r="G142" s="54"/>
      <c r="H142" s="54"/>
    </row>
    <row r="143" spans="1:14" ht="14.25">
      <c r="A143" s="63"/>
      <c r="B143" s="54"/>
      <c r="C143" s="54"/>
      <c r="D143" s="54"/>
      <c r="E143" s="54"/>
      <c r="F143" s="54"/>
      <c r="G143" s="54"/>
      <c r="H143" s="54"/>
    </row>
    <row r="144" spans="1:14" ht="14.25">
      <c r="A144" s="54"/>
      <c r="B144" s="54"/>
      <c r="C144" s="54"/>
      <c r="D144" s="54"/>
      <c r="E144" s="54"/>
      <c r="F144" s="54"/>
      <c r="G144" s="54"/>
      <c r="H144" s="54"/>
    </row>
    <row r="145" spans="1:8" ht="14.25">
      <c r="A145" s="54"/>
      <c r="B145" s="54"/>
      <c r="C145" s="54"/>
      <c r="D145" s="54"/>
      <c r="E145" s="54"/>
      <c r="F145" s="54"/>
      <c r="G145" s="54"/>
      <c r="H145" s="54"/>
    </row>
    <row r="146" spans="1:8" ht="14.25">
      <c r="A146" s="54"/>
      <c r="B146" s="54"/>
      <c r="C146" s="54"/>
      <c r="D146" s="54"/>
      <c r="E146" s="54"/>
      <c r="F146" s="54"/>
      <c r="G146" s="54"/>
      <c r="H146" s="54"/>
    </row>
    <row r="147" spans="1:8" ht="14.25">
      <c r="A147" s="54"/>
      <c r="B147" s="54"/>
      <c r="C147" s="54"/>
      <c r="D147" s="54"/>
      <c r="E147" s="54"/>
      <c r="F147" s="54"/>
      <c r="G147" s="54"/>
      <c r="H147" s="54"/>
    </row>
    <row r="148" spans="1:8" ht="14.25">
      <c r="A148" s="54"/>
      <c r="B148" s="54"/>
      <c r="C148" s="54"/>
      <c r="D148" s="54"/>
      <c r="E148" s="54"/>
      <c r="F148" s="54"/>
      <c r="G148" s="54"/>
      <c r="H148" s="54"/>
    </row>
    <row r="149" spans="1:8" ht="14.25">
      <c r="A149" s="54"/>
      <c r="B149" s="54"/>
      <c r="C149" s="54"/>
      <c r="D149" s="54"/>
      <c r="E149" s="54"/>
      <c r="F149" s="54"/>
      <c r="G149" s="54"/>
      <c r="H149" s="54"/>
    </row>
    <row r="150" spans="1:8" ht="14.25" hidden="1">
      <c r="A150" s="54"/>
      <c r="B150" s="54"/>
      <c r="C150" s="54"/>
      <c r="D150" s="54"/>
      <c r="E150" s="54"/>
      <c r="F150" s="54"/>
      <c r="G150" s="54"/>
      <c r="H150" s="54"/>
    </row>
    <row r="151" spans="1:8" ht="14.25" hidden="1">
      <c r="A151" s="54"/>
      <c r="B151" s="54"/>
      <c r="C151" s="54"/>
      <c r="D151" s="54"/>
      <c r="E151" s="54"/>
      <c r="F151" s="54"/>
      <c r="G151" s="54"/>
      <c r="H151" s="54"/>
    </row>
    <row r="152" spans="1:8" ht="14.25" hidden="1">
      <c r="A152" s="54"/>
      <c r="B152" s="54"/>
      <c r="C152" s="54"/>
      <c r="D152" s="54"/>
      <c r="E152" s="54"/>
      <c r="F152" s="54"/>
      <c r="G152" s="54"/>
      <c r="H152" s="54"/>
    </row>
    <row r="153" spans="1:8" ht="14.25">
      <c r="A153" s="4645" t="s">
        <v>993</v>
      </c>
      <c r="B153" s="4645"/>
      <c r="C153" s="4645"/>
      <c r="D153" s="4645"/>
      <c r="E153" s="4645"/>
      <c r="F153" s="4645"/>
      <c r="G153" s="4645"/>
      <c r="H153" s="4645"/>
    </row>
    <row r="154" spans="1:8" ht="14.25">
      <c r="A154" s="54"/>
      <c r="B154" s="54"/>
      <c r="C154" s="54"/>
      <c r="D154" s="54"/>
      <c r="E154" s="54"/>
      <c r="F154" s="54"/>
      <c r="G154" s="54"/>
      <c r="H154" s="54"/>
    </row>
    <row r="155" spans="1:8" ht="14.25">
      <c r="A155" s="63" t="s">
        <v>112</v>
      </c>
      <c r="B155" s="54" t="s">
        <v>1347</v>
      </c>
      <c r="C155" s="79"/>
      <c r="D155" s="79"/>
      <c r="E155" s="80"/>
      <c r="F155" s="79"/>
      <c r="G155" s="28"/>
      <c r="H155" s="87"/>
    </row>
    <row r="156" spans="1:8" ht="14.25">
      <c r="A156" s="63"/>
      <c r="B156" s="54"/>
      <c r="C156" s="79"/>
      <c r="D156" s="79"/>
      <c r="E156" s="80"/>
      <c r="F156" s="79"/>
      <c r="G156" s="28"/>
      <c r="H156" s="87"/>
    </row>
    <row r="157" spans="1:8" ht="14.25">
      <c r="A157" s="63"/>
      <c r="B157" s="54"/>
      <c r="C157" s="79"/>
      <c r="D157" s="79"/>
      <c r="E157" s="128" t="s">
        <v>1015</v>
      </c>
      <c r="F157" s="79"/>
      <c r="G157" s="28"/>
      <c r="H157" s="129"/>
    </row>
    <row r="158" spans="1:8" ht="14.25">
      <c r="A158" s="54"/>
      <c r="B158" s="53"/>
      <c r="C158" s="54"/>
      <c r="D158" s="54"/>
      <c r="E158" s="53"/>
      <c r="F158" s="54"/>
      <c r="G158" s="9"/>
      <c r="H158" s="54"/>
    </row>
    <row r="159" spans="1:8" ht="15">
      <c r="A159" s="54"/>
      <c r="B159" s="53"/>
      <c r="C159" s="54" t="s">
        <v>238</v>
      </c>
      <c r="D159" s="82"/>
      <c r="E159" s="587" t="e">
        <f>FIXED(Protokoll!$B$52,2)</f>
        <v>#VALUE!</v>
      </c>
      <c r="F159" s="588" t="s">
        <v>929</v>
      </c>
      <c r="G159" s="113"/>
      <c r="H159" s="126"/>
    </row>
    <row r="160" spans="1:8" ht="15">
      <c r="A160" s="54"/>
      <c r="B160" s="82"/>
      <c r="C160" s="54" t="s">
        <v>239</v>
      </c>
      <c r="D160" s="82"/>
      <c r="E160" s="589" t="e">
        <f>FIXED(Protokoll!$B$53,2)</f>
        <v>#VALUE!</v>
      </c>
      <c r="F160" s="588" t="s">
        <v>931</v>
      </c>
      <c r="G160" s="115"/>
      <c r="H160" s="125"/>
    </row>
    <row r="161" spans="1:8" ht="14.25">
      <c r="A161" s="537"/>
      <c r="B161" s="538"/>
      <c r="C161" s="54"/>
      <c r="D161" s="54"/>
      <c r="E161" s="53"/>
      <c r="F161" s="54"/>
      <c r="G161" s="9"/>
      <c r="H161" s="54"/>
    </row>
    <row r="162" spans="1:8" ht="14.25">
      <c r="A162" s="54"/>
      <c r="B162" s="82" t="s">
        <v>313</v>
      </c>
      <c r="C162" s="54"/>
      <c r="D162" s="54"/>
      <c r="E162" s="53"/>
      <c r="F162" s="54"/>
      <c r="G162" s="9"/>
      <c r="H162" s="54"/>
    </row>
    <row r="163" spans="1:8" ht="14.25">
      <c r="A163" s="54"/>
      <c r="B163" s="82" t="s">
        <v>314</v>
      </c>
      <c r="C163" s="54"/>
      <c r="D163" s="54"/>
      <c r="E163" s="53"/>
      <c r="F163" s="54"/>
      <c r="G163" s="9"/>
      <c r="H163" s="54"/>
    </row>
    <row r="164" spans="1:8" ht="14.25">
      <c r="A164" s="54"/>
      <c r="B164" s="82" t="s">
        <v>315</v>
      </c>
      <c r="C164" s="54"/>
      <c r="D164" s="54"/>
      <c r="E164" s="53"/>
      <c r="F164" s="54"/>
      <c r="G164" s="9"/>
      <c r="H164" s="54"/>
    </row>
    <row r="165" spans="1:8" ht="14.25">
      <c r="A165" s="54"/>
      <c r="B165" s="82" t="s">
        <v>316</v>
      </c>
      <c r="C165" s="538"/>
      <c r="D165" s="538"/>
      <c r="E165" s="538"/>
      <c r="F165" s="538"/>
      <c r="G165" s="538"/>
      <c r="H165" s="538"/>
    </row>
    <row r="166" spans="1:8" ht="14.25">
      <c r="A166" s="54"/>
      <c r="B166" s="82"/>
      <c r="C166" s="538"/>
      <c r="D166" s="538"/>
      <c r="E166" s="538"/>
      <c r="F166" s="538"/>
      <c r="G166" s="538"/>
      <c r="H166" s="538"/>
    </row>
    <row r="167" spans="1:8" ht="14.25">
      <c r="A167" s="63" t="s">
        <v>113</v>
      </c>
      <c r="B167" s="82" t="s">
        <v>1410</v>
      </c>
      <c r="C167" s="538"/>
      <c r="D167" s="538"/>
      <c r="E167" s="538"/>
      <c r="F167" s="538"/>
      <c r="G167" s="538"/>
      <c r="H167" s="538"/>
    </row>
    <row r="168" spans="1:8" ht="14.25">
      <c r="A168" s="54"/>
      <c r="B168" s="82" t="s">
        <v>1348</v>
      </c>
      <c r="C168" s="538"/>
      <c r="D168" s="538"/>
      <c r="E168" s="538"/>
      <c r="F168" s="538"/>
      <c r="G168" s="538"/>
      <c r="H168" s="538"/>
    </row>
    <row r="169" spans="1:8" ht="14.25">
      <c r="A169" s="54"/>
      <c r="B169" s="82"/>
      <c r="C169" s="3399"/>
      <c r="D169" s="3399"/>
      <c r="E169" s="3399"/>
      <c r="F169" s="3399"/>
      <c r="G169" s="3399"/>
      <c r="H169" s="3399"/>
    </row>
    <row r="170" spans="1:8" ht="14.25">
      <c r="A170" s="63" t="s">
        <v>279</v>
      </c>
      <c r="B170" s="82" t="s">
        <v>2144</v>
      </c>
      <c r="C170" s="3399"/>
      <c r="D170" s="3399"/>
      <c r="E170" s="3399"/>
      <c r="F170" s="3399"/>
      <c r="G170" s="3399"/>
      <c r="H170" s="3399"/>
    </row>
    <row r="171" spans="1:8" ht="14.25">
      <c r="A171" s="54"/>
      <c r="B171" s="82" t="s">
        <v>2145</v>
      </c>
      <c r="C171" s="3399"/>
      <c r="D171" s="3399"/>
      <c r="E171" s="3399"/>
      <c r="F171" s="3399"/>
      <c r="G171" s="3399"/>
      <c r="H171" s="3399"/>
    </row>
    <row r="172" spans="1:8" ht="14.25">
      <c r="A172" s="54"/>
      <c r="B172" s="82" t="s">
        <v>2146</v>
      </c>
      <c r="C172" s="3427"/>
      <c r="D172" s="3427"/>
      <c r="E172" s="3427"/>
      <c r="F172" s="3427"/>
      <c r="G172" s="3427"/>
      <c r="H172" s="3427"/>
    </row>
    <row r="173" spans="1:8" ht="14.25">
      <c r="A173" s="54"/>
      <c r="B173" s="82" t="s">
        <v>2148</v>
      </c>
      <c r="C173" s="3427"/>
      <c r="D173" s="3427"/>
      <c r="E173" s="3427"/>
      <c r="F173" s="3427"/>
      <c r="G173" s="3427"/>
      <c r="H173" s="3427"/>
    </row>
    <row r="174" spans="1:8" ht="14.25">
      <c r="A174" s="54"/>
      <c r="B174" s="82" t="s">
        <v>2147</v>
      </c>
      <c r="C174" s="3427"/>
      <c r="D174" s="3427"/>
      <c r="E174" s="3427"/>
      <c r="F174" s="3427"/>
      <c r="G174" s="3427"/>
      <c r="H174" s="3427"/>
    </row>
    <row r="175" spans="1:8" ht="14.25">
      <c r="A175" s="54"/>
      <c r="B175" s="82"/>
      <c r="C175" s="3427"/>
      <c r="D175" s="3427"/>
      <c r="E175" s="3427"/>
      <c r="F175" s="3427"/>
      <c r="G175" s="3427"/>
      <c r="H175" s="3427"/>
    </row>
    <row r="176" spans="1:8" ht="14.25">
      <c r="A176" s="54"/>
      <c r="B176" s="82" t="s">
        <v>2130</v>
      </c>
      <c r="C176" s="3427"/>
      <c r="D176" s="3427"/>
      <c r="E176" s="3427"/>
      <c r="F176" s="3427"/>
      <c r="G176" s="3427"/>
      <c r="H176" s="3427"/>
    </row>
    <row r="177" spans="1:8" ht="14.25">
      <c r="A177" s="54"/>
      <c r="B177" s="82" t="s">
        <v>2131</v>
      </c>
      <c r="C177" s="3427"/>
      <c r="D177" s="3427"/>
      <c r="E177" s="3427"/>
      <c r="F177" s="3427"/>
      <c r="G177" s="3427"/>
      <c r="H177" s="3427"/>
    </row>
    <row r="178" spans="1:8" ht="14.25">
      <c r="A178" s="63"/>
      <c r="B178" s="54"/>
      <c r="C178" s="79"/>
      <c r="D178" s="79"/>
      <c r="E178" s="128"/>
      <c r="F178" s="79"/>
      <c r="G178" s="28"/>
      <c r="H178" s="129"/>
    </row>
    <row r="179" spans="1:8" ht="15">
      <c r="A179" s="4641" t="s">
        <v>2330</v>
      </c>
      <c r="B179" s="4641"/>
      <c r="C179" s="4641"/>
      <c r="D179" s="4641"/>
      <c r="E179" s="4641"/>
      <c r="F179" s="4641"/>
      <c r="G179" s="4641"/>
      <c r="H179" s="4641"/>
    </row>
    <row r="180" spans="1:8" ht="14.25">
      <c r="A180" s="63"/>
      <c r="B180" s="54"/>
      <c r="C180" s="79"/>
      <c r="D180" s="79"/>
      <c r="E180" s="80"/>
      <c r="F180" s="79"/>
      <c r="G180" s="28"/>
      <c r="H180" s="87"/>
    </row>
    <row r="181" spans="1:8" ht="14.25">
      <c r="A181" s="586" t="str">
        <f>"Diese Vergütungsvereinbarung tritt am "&amp;TEXT(Protokoll!B48,"TT.MM.JJJJ")&amp;" in Kraft und gilt bis zum "&amp;TEXT(Protokoll!D48,"TT.MM.JJJJ")&amp;"."</f>
        <v>Diese Vergütungsvereinbarung tritt am 01.03.2025 in Kraft und gilt bis zum 28.02.2026.</v>
      </c>
      <c r="B181" s="53"/>
      <c r="C181" s="54"/>
      <c r="D181" s="54"/>
      <c r="E181" s="54"/>
      <c r="F181" s="54"/>
      <c r="G181" s="54"/>
      <c r="H181" s="54"/>
    </row>
    <row r="182" spans="1:8" ht="14.25">
      <c r="A182" s="63"/>
      <c r="B182" s="54"/>
      <c r="C182" s="79"/>
      <c r="D182" s="79"/>
      <c r="E182" s="80"/>
      <c r="F182" s="79"/>
      <c r="G182" s="28"/>
      <c r="H182" s="87"/>
    </row>
    <row r="183" spans="1:8" ht="14.25">
      <c r="A183" s="63" t="s">
        <v>1409</v>
      </c>
      <c r="B183" s="54"/>
      <c r="C183" s="79"/>
      <c r="D183" s="79"/>
      <c r="E183" s="80"/>
      <c r="F183" s="79"/>
      <c r="G183" s="28"/>
      <c r="H183" s="87"/>
    </row>
    <row r="184" spans="1:8" ht="14.25">
      <c r="A184" s="63" t="s">
        <v>1349</v>
      </c>
      <c r="B184" s="54"/>
      <c r="C184" s="79"/>
      <c r="D184" s="79"/>
      <c r="E184" s="80"/>
      <c r="F184" s="79"/>
      <c r="G184" s="28"/>
      <c r="H184" s="87"/>
    </row>
    <row r="185" spans="1:8" ht="14.25">
      <c r="A185" s="63" t="s">
        <v>2011</v>
      </c>
      <c r="B185" s="54"/>
      <c r="C185" s="79"/>
      <c r="D185" s="79"/>
      <c r="E185" s="80"/>
      <c r="F185" s="79"/>
      <c r="G185" s="28"/>
      <c r="H185" s="87"/>
    </row>
    <row r="186" spans="1:8" ht="14.25">
      <c r="A186" s="63"/>
      <c r="B186" s="54"/>
      <c r="C186" s="79"/>
      <c r="D186" s="79"/>
      <c r="E186" s="80"/>
      <c r="F186" s="79"/>
      <c r="G186" s="28"/>
      <c r="H186" s="87"/>
    </row>
    <row r="187" spans="1:8" ht="14.25">
      <c r="A187" s="63"/>
      <c r="B187" s="54"/>
      <c r="C187" s="79"/>
      <c r="D187" s="79"/>
      <c r="E187" s="80"/>
      <c r="F187" s="79"/>
      <c r="G187" s="28"/>
      <c r="H187" s="87"/>
    </row>
    <row r="188" spans="1:8" ht="14.25">
      <c r="A188" s="4698" t="e">
        <f ca="1">IF(Ort_Träger=VLOOKUP(Ort,Datenbereich,6,FALSE),"",Ort_Träger&amp;", ")&amp;VLOOKUP(Ort,Datenbereich,6,FALSE)&amp;", "&amp;IF(Ort_Träger="Münster","",IF(Ort_Träger="Köln","",VLOOKUP(Ort,Datenbereich,7,FALSE)&amp;", "))&amp;TEXT(TODAY(),"TT.MM.JJJJ")</f>
        <v>#N/A</v>
      </c>
      <c r="B188" s="4698"/>
      <c r="C188" s="4698"/>
      <c r="D188" s="4698"/>
      <c r="E188" s="4698"/>
      <c r="F188" s="54"/>
      <c r="G188" s="54"/>
      <c r="H188" s="54"/>
    </row>
    <row r="189" spans="1:8" ht="14.25">
      <c r="A189" s="91"/>
      <c r="B189" s="67"/>
      <c r="C189" s="54"/>
      <c r="D189" s="54"/>
      <c r="E189" s="54"/>
      <c r="F189" s="54"/>
      <c r="G189" s="54"/>
      <c r="H189" s="54"/>
    </row>
    <row r="190" spans="1:8" ht="14.25">
      <c r="A190" s="93"/>
      <c r="B190" s="93"/>
      <c r="C190" s="53"/>
      <c r="D190" s="53"/>
      <c r="E190" s="53"/>
      <c r="F190" s="53"/>
      <c r="G190" s="53"/>
      <c r="H190" s="53"/>
    </row>
    <row r="191" spans="1:8" ht="14.25">
      <c r="A191" s="93"/>
      <c r="B191" s="93"/>
      <c r="C191" s="53"/>
      <c r="D191" s="53"/>
      <c r="E191" s="53"/>
      <c r="F191" s="53"/>
      <c r="G191" s="53"/>
      <c r="H191" s="53"/>
    </row>
    <row r="192" spans="1:8" ht="14.25">
      <c r="A192" s="93"/>
      <c r="B192" s="93"/>
      <c r="C192" s="53"/>
      <c r="D192" s="53"/>
      <c r="E192" s="53"/>
      <c r="F192" s="53"/>
      <c r="G192" s="53"/>
      <c r="H192" s="53"/>
    </row>
    <row r="193" spans="1:8" ht="15" thickBot="1">
      <c r="A193" s="92"/>
      <c r="B193" s="92"/>
      <c r="C193" s="92"/>
      <c r="D193" s="92"/>
      <c r="E193" s="92"/>
      <c r="F193" s="54"/>
      <c r="G193" s="92"/>
      <c r="H193" s="92"/>
    </row>
    <row r="194" spans="1:8" ht="14.25">
      <c r="A194" s="4617" t="str">
        <f>CONCATENATE(Träger," ",Träger2)</f>
        <v xml:space="preserve"> </v>
      </c>
      <c r="B194" s="4617"/>
      <c r="C194" s="4617"/>
      <c r="D194" s="4617"/>
      <c r="E194" s="4617"/>
      <c r="F194" s="93"/>
      <c r="G194" s="4619" t="s">
        <v>355</v>
      </c>
      <c r="H194" s="4619"/>
    </row>
    <row r="195" spans="1:8" ht="14.25">
      <c r="A195" s="4618"/>
      <c r="B195" s="4618"/>
      <c r="C195" s="4618"/>
      <c r="D195" s="4618"/>
      <c r="E195" s="4618"/>
      <c r="F195" s="93"/>
      <c r="G195" s="4620" t="str">
        <f>"in Nordrhein-Westfalen, vertreten durch"</f>
        <v>in Nordrhein-Westfalen, vertreten durch</v>
      </c>
      <c r="H195" s="4620"/>
    </row>
    <row r="196" spans="1:8" ht="14.25">
      <c r="A196" s="4618"/>
      <c r="B196" s="4618"/>
      <c r="C196" s="4618"/>
      <c r="D196" s="4618"/>
      <c r="E196" s="4618"/>
      <c r="F196" s="93"/>
      <c r="G196"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196" s="4620"/>
    </row>
    <row r="197" spans="1:8" ht="14.25">
      <c r="A197" s="622"/>
      <c r="B197" s="622"/>
      <c r="C197" s="622"/>
      <c r="D197" s="622"/>
      <c r="E197" s="622"/>
      <c r="F197" s="93"/>
      <c r="G197" s="4620" t="str">
        <f>IF('Copy &amp; Paste'!I1="BEK","der Pflegekasse der BARMER",IF('Copy &amp; Paste'!I1="BEK Schade","der Pflegekasse der BARMER",IF('Copy &amp; Paste'!I1="DAK"," der DAK-Gesundheit-PFLEGEKASSE",IF('Copy &amp; Paste'!I1="vdek","",IF(Ergebnis!C3="AOK WL","- die Gesundheitskasse.",IF(Ergebnis!C3="AOK NO","- die Gesundheitskasse.",""))))))</f>
        <v/>
      </c>
      <c r="H197" s="4620"/>
    </row>
    <row r="198" spans="1:8" ht="14.25">
      <c r="A198" s="622"/>
      <c r="B198" s="622"/>
      <c r="C198" s="622"/>
      <c r="D198" s="622"/>
      <c r="E198" s="622"/>
      <c r="F198" s="93"/>
      <c r="G198" s="623"/>
      <c r="H198" s="623"/>
    </row>
    <row r="199" spans="1:8" ht="14.25">
      <c r="A199" s="622"/>
      <c r="B199" s="622"/>
      <c r="C199" s="622"/>
      <c r="D199" s="622"/>
      <c r="E199" s="622"/>
      <c r="F199" s="93"/>
      <c r="G199" s="623"/>
      <c r="H199" s="623"/>
    </row>
    <row r="200" spans="1:8" ht="14.25">
      <c r="A200" s="622"/>
      <c r="B200" s="622"/>
      <c r="C200" s="622"/>
      <c r="D200" s="622"/>
      <c r="E200" s="622"/>
      <c r="F200" s="93"/>
      <c r="G200" s="623"/>
      <c r="H200" s="623"/>
    </row>
    <row r="201" spans="1:8" ht="13.5">
      <c r="A201" s="53"/>
      <c r="B201" s="53"/>
      <c r="C201" s="53"/>
      <c r="D201" s="53"/>
      <c r="E201" s="53"/>
      <c r="F201" s="53"/>
      <c r="G201" s="4601"/>
      <c r="H201" s="4601"/>
    </row>
    <row r="202" spans="1:8" ht="13.5" thickBot="1">
      <c r="A202" s="53"/>
      <c r="B202" s="53"/>
      <c r="C202" s="53"/>
      <c r="D202" s="53"/>
      <c r="E202" s="53"/>
      <c r="F202" s="53"/>
      <c r="G202" s="120" t="s">
        <v>351</v>
      </c>
      <c r="H202" s="120"/>
    </row>
    <row r="203" spans="1:8" ht="13.5">
      <c r="A203" s="53"/>
      <c r="B203" s="53"/>
      <c r="C203" s="53"/>
      <c r="D203" s="53"/>
      <c r="E203" s="53"/>
      <c r="F203" s="53"/>
      <c r="G203" s="4639" t="str">
        <f>IF(Ergebnis!$C$2="Westfalen-Lippe","Der Direktor des Landschaftsverbandes","Die Direktorin des Landschaftsverbandes")</f>
        <v>Die Direktorin des Landschaftsverbandes</v>
      </c>
      <c r="H203" s="4639"/>
    </row>
    <row r="204" spans="1:8" ht="13.5">
      <c r="A204" s="53"/>
      <c r="B204" s="53"/>
      <c r="C204" s="53"/>
      <c r="D204" s="53"/>
      <c r="E204" s="53"/>
      <c r="F204" s="53"/>
      <c r="G204" s="4640" t="str">
        <f>IF(Ergebnis!$C$2="Westfalen-Lippe","Westfalen-Lippe","Rheinland")</f>
        <v>Rheinland</v>
      </c>
      <c r="H204" s="4640"/>
    </row>
    <row r="205" spans="1:8" ht="14.25">
      <c r="A205" s="63"/>
      <c r="B205" s="54"/>
      <c r="C205" s="79"/>
      <c r="D205" s="79"/>
      <c r="E205" s="80"/>
      <c r="F205" s="79"/>
      <c r="G205" s="28"/>
      <c r="H205" s="87"/>
    </row>
    <row r="206" spans="1:8" ht="14.25">
      <c r="A206" s="63"/>
      <c r="B206" s="54"/>
      <c r="C206" s="79"/>
      <c r="D206" s="79"/>
      <c r="E206" s="80"/>
      <c r="F206" s="79"/>
      <c r="G206" s="28"/>
      <c r="H206" s="87"/>
    </row>
    <row r="207" spans="1:8" ht="14.25">
      <c r="A207" s="63"/>
      <c r="B207" s="54"/>
      <c r="C207" s="79"/>
      <c r="D207" s="79"/>
      <c r="E207" s="80"/>
      <c r="F207" s="79"/>
      <c r="G207" s="28"/>
      <c r="H207" s="87"/>
    </row>
    <row r="208" spans="1:8" ht="14.25">
      <c r="A208" s="63"/>
      <c r="B208" s="54"/>
      <c r="C208" s="79"/>
      <c r="D208" s="79"/>
      <c r="E208" s="80"/>
      <c r="F208" s="79"/>
      <c r="G208" s="28"/>
      <c r="H208" s="87"/>
    </row>
    <row r="209" spans="1:8" ht="14.25">
      <c r="A209" s="63"/>
      <c r="B209" s="54"/>
      <c r="C209" s="79"/>
      <c r="D209" s="79"/>
      <c r="E209" s="80"/>
      <c r="F209" s="79"/>
      <c r="G209" s="28"/>
      <c r="H209" s="87"/>
    </row>
    <row r="210" spans="1:8" ht="14.25">
      <c r="A210" s="63"/>
      <c r="B210" s="54"/>
      <c r="C210" s="79"/>
      <c r="D210" s="79"/>
      <c r="E210" s="80"/>
      <c r="F210" s="79"/>
      <c r="G210" s="28"/>
      <c r="H210" s="87"/>
    </row>
    <row r="211" spans="1:8" ht="14.25">
      <c r="A211" s="63"/>
      <c r="B211" s="54"/>
      <c r="C211" s="79"/>
      <c r="D211" s="79"/>
      <c r="E211" s="80"/>
      <c r="F211" s="79"/>
      <c r="G211" s="28"/>
      <c r="H211" s="87"/>
    </row>
    <row r="212" spans="1:8" ht="14.25">
      <c r="A212" s="63"/>
      <c r="B212" s="54"/>
      <c r="C212" s="79"/>
      <c r="D212" s="79"/>
      <c r="E212" s="80"/>
      <c r="F212" s="79"/>
      <c r="G212" s="28"/>
      <c r="H212" s="87"/>
    </row>
    <row r="213" spans="1:8" ht="14.25">
      <c r="A213" s="63"/>
      <c r="B213" s="54"/>
      <c r="C213" s="79"/>
      <c r="D213" s="79"/>
      <c r="E213" s="80"/>
      <c r="F213" s="79"/>
      <c r="G213" s="28"/>
      <c r="H213" s="87"/>
    </row>
    <row r="214" spans="1:8" ht="14.25">
      <c r="A214" s="63"/>
      <c r="B214" s="54"/>
      <c r="C214" s="79"/>
      <c r="D214" s="79"/>
      <c r="E214" s="80"/>
      <c r="F214" s="79"/>
      <c r="G214" s="28"/>
      <c r="H214" s="87"/>
    </row>
    <row r="215" spans="1:8" ht="14.25">
      <c r="A215" s="63"/>
      <c r="B215" s="54"/>
      <c r="C215" s="79"/>
      <c r="D215" s="79"/>
      <c r="E215" s="80"/>
      <c r="F215" s="79"/>
      <c r="G215" s="28"/>
      <c r="H215" s="87"/>
    </row>
    <row r="216" spans="1:8" ht="14.25">
      <c r="A216" s="63"/>
      <c r="B216" s="54"/>
      <c r="C216" s="79"/>
      <c r="D216" s="79"/>
      <c r="E216" s="80"/>
      <c r="F216" s="79"/>
      <c r="G216" s="28"/>
      <c r="H216" s="87"/>
    </row>
    <row r="217" spans="1:8" ht="14.25">
      <c r="A217" s="63"/>
      <c r="B217" s="54"/>
      <c r="C217" s="79"/>
      <c r="D217" s="79"/>
      <c r="E217" s="80"/>
      <c r="F217" s="79"/>
      <c r="G217" s="28"/>
      <c r="H217" s="87"/>
    </row>
    <row r="218" spans="1:8" ht="14.25">
      <c r="A218" s="63"/>
      <c r="B218" s="54"/>
      <c r="C218" s="79"/>
      <c r="D218" s="79"/>
      <c r="E218" s="80"/>
      <c r="F218" s="79"/>
      <c r="G218" s="28"/>
      <c r="H218" s="87"/>
    </row>
    <row r="219" spans="1:8" ht="14.25">
      <c r="A219" s="63"/>
      <c r="B219" s="54"/>
      <c r="C219" s="79"/>
      <c r="D219" s="79"/>
      <c r="E219" s="80"/>
      <c r="F219" s="79"/>
      <c r="G219" s="28"/>
      <c r="H219" s="87"/>
    </row>
    <row r="220" spans="1:8" ht="14.25">
      <c r="A220" s="63"/>
      <c r="B220" s="54"/>
      <c r="C220" s="79"/>
      <c r="D220" s="79"/>
      <c r="E220" s="80"/>
      <c r="F220" s="79"/>
      <c r="G220" s="28"/>
      <c r="H220" s="87"/>
    </row>
    <row r="221" spans="1:8" ht="14.25">
      <c r="A221" s="63"/>
      <c r="B221" s="54"/>
      <c r="C221" s="79"/>
      <c r="D221" s="79"/>
      <c r="E221" s="80"/>
      <c r="F221" s="79"/>
      <c r="G221" s="28"/>
      <c r="H221" s="87"/>
    </row>
    <row r="222" spans="1:8" ht="14.25">
      <c r="A222" s="63"/>
      <c r="B222" s="54"/>
      <c r="C222" s="79"/>
      <c r="D222" s="79"/>
      <c r="E222" s="80"/>
      <c r="F222" s="79"/>
      <c r="G222" s="28"/>
      <c r="H222" s="87"/>
    </row>
    <row r="223" spans="1:8" ht="14.25">
      <c r="A223" s="63"/>
      <c r="B223" s="54"/>
      <c r="C223" s="79"/>
      <c r="D223" s="79"/>
      <c r="E223" s="80"/>
      <c r="F223" s="79"/>
      <c r="G223" s="28"/>
      <c r="H223" s="87"/>
    </row>
    <row r="224" spans="1:8" ht="14.25">
      <c r="A224" s="63"/>
      <c r="B224" s="54"/>
      <c r="C224" s="79"/>
      <c r="D224" s="79"/>
      <c r="E224" s="80"/>
      <c r="F224" s="79"/>
      <c r="G224" s="28"/>
      <c r="H224" s="87"/>
    </row>
    <row r="225" spans="1:8" ht="14.25">
      <c r="A225" s="63"/>
      <c r="B225" s="54"/>
      <c r="C225" s="79"/>
      <c r="D225" s="79"/>
      <c r="E225" s="80"/>
      <c r="F225" s="79"/>
      <c r="G225" s="28"/>
      <c r="H225" s="87"/>
    </row>
    <row r="226" spans="1:8" ht="14.25">
      <c r="A226" s="63"/>
      <c r="B226" s="54"/>
      <c r="C226" s="79"/>
      <c r="D226" s="79"/>
      <c r="E226" s="80"/>
      <c r="F226" s="79"/>
      <c r="G226" s="28"/>
      <c r="H226" s="87"/>
    </row>
    <row r="227" spans="1:8" ht="14.25">
      <c r="A227" s="63"/>
      <c r="B227" s="54"/>
      <c r="C227" s="79"/>
      <c r="D227" s="79"/>
      <c r="E227" s="80"/>
      <c r="F227" s="79"/>
      <c r="G227" s="28"/>
      <c r="H227" s="87"/>
    </row>
    <row r="228" spans="1:8" ht="14.25">
      <c r="A228" s="63"/>
      <c r="B228" s="54"/>
      <c r="C228" s="79"/>
      <c r="D228" s="79"/>
      <c r="E228" s="80"/>
      <c r="F228" s="79"/>
      <c r="G228" s="28"/>
      <c r="H228" s="87"/>
    </row>
    <row r="229" spans="1:8" ht="14.25">
      <c r="A229" s="63"/>
      <c r="B229" s="54"/>
      <c r="C229" s="79"/>
      <c r="D229" s="79"/>
      <c r="E229" s="80"/>
      <c r="F229" s="79"/>
      <c r="G229" s="28"/>
      <c r="H229" s="87"/>
    </row>
    <row r="230" spans="1:8" ht="14.25">
      <c r="A230" s="63"/>
      <c r="B230" s="54"/>
      <c r="C230" s="79"/>
      <c r="D230" s="79"/>
      <c r="E230" s="80"/>
      <c r="F230" s="79"/>
      <c r="G230" s="28"/>
      <c r="H230" s="87"/>
    </row>
    <row r="231" spans="1:8" ht="14.25">
      <c r="A231" s="63"/>
      <c r="B231" s="54"/>
      <c r="C231" s="79"/>
      <c r="D231" s="79"/>
      <c r="E231" s="80"/>
      <c r="F231" s="79"/>
      <c r="G231" s="28"/>
      <c r="H231" s="87"/>
    </row>
    <row r="232" spans="1:8" ht="14.25">
      <c r="A232" s="63"/>
      <c r="B232" s="54"/>
      <c r="C232" s="79"/>
      <c r="D232" s="79"/>
      <c r="E232" s="80"/>
      <c r="F232" s="79"/>
      <c r="G232" s="28"/>
      <c r="H232" s="87"/>
    </row>
    <row r="233" spans="1:8" ht="14.25">
      <c r="A233" s="63"/>
      <c r="B233" s="54"/>
      <c r="C233" s="79"/>
      <c r="D233" s="79"/>
      <c r="E233" s="80"/>
      <c r="F233" s="79"/>
      <c r="G233" s="28"/>
      <c r="H233" s="87"/>
    </row>
    <row r="234" spans="1:8" ht="14.25">
      <c r="A234" s="63"/>
      <c r="B234" s="54"/>
      <c r="C234" s="79"/>
      <c r="D234" s="79"/>
      <c r="E234" s="80"/>
      <c r="F234" s="79"/>
      <c r="G234" s="28"/>
      <c r="H234" s="87"/>
    </row>
    <row r="235" spans="1:8" ht="14.25">
      <c r="A235" s="63"/>
      <c r="B235" s="54"/>
      <c r="C235" s="79"/>
      <c r="D235" s="79"/>
      <c r="E235" s="80"/>
      <c r="F235" s="79"/>
      <c r="G235" s="28"/>
      <c r="H235" s="87"/>
    </row>
    <row r="236" spans="1:8" ht="14.25">
      <c r="A236" s="63"/>
      <c r="B236" s="54"/>
      <c r="C236" s="79"/>
      <c r="D236" s="79"/>
      <c r="E236" s="80"/>
      <c r="F236" s="79"/>
      <c r="G236" s="28"/>
      <c r="H236" s="87"/>
    </row>
    <row r="237" spans="1:8" ht="14.25">
      <c r="A237" s="63"/>
      <c r="B237" s="54"/>
      <c r="C237" s="79"/>
      <c r="D237" s="79"/>
      <c r="E237" s="80"/>
      <c r="F237" s="79"/>
      <c r="G237" s="28"/>
      <c r="H237" s="87"/>
    </row>
    <row r="238" spans="1:8" ht="14.25">
      <c r="A238" s="63"/>
      <c r="B238" s="54"/>
      <c r="C238" s="79"/>
      <c r="D238" s="79"/>
      <c r="E238" s="80"/>
      <c r="F238" s="79"/>
      <c r="G238" s="28"/>
      <c r="H238" s="87"/>
    </row>
    <row r="239" spans="1:8" ht="14.25">
      <c r="A239" s="63"/>
      <c r="B239" s="54"/>
      <c r="C239" s="79"/>
      <c r="D239" s="79"/>
      <c r="E239" s="80"/>
      <c r="F239" s="79"/>
      <c r="G239" s="28"/>
      <c r="H239" s="87"/>
    </row>
    <row r="240" spans="1:8" ht="14.25">
      <c r="A240" s="63"/>
      <c r="B240" s="54"/>
      <c r="C240" s="79"/>
      <c r="D240" s="79"/>
      <c r="E240" s="80"/>
      <c r="F240" s="79"/>
      <c r="G240" s="28"/>
      <c r="H240" s="87"/>
    </row>
    <row r="241" spans="1:8" ht="14.25">
      <c r="A241" s="63"/>
      <c r="B241" s="54"/>
      <c r="C241" s="79"/>
      <c r="D241" s="79"/>
      <c r="E241" s="80"/>
      <c r="F241" s="79"/>
      <c r="G241" s="28"/>
      <c r="H241" s="87"/>
    </row>
    <row r="242" spans="1:8" ht="14.25">
      <c r="A242" s="63"/>
      <c r="B242" s="54"/>
      <c r="C242" s="79"/>
      <c r="D242" s="79"/>
      <c r="E242" s="80"/>
      <c r="F242" s="79"/>
      <c r="G242" s="28"/>
      <c r="H242" s="87"/>
    </row>
    <row r="243" spans="1:8" ht="14.25">
      <c r="A243" s="63"/>
      <c r="B243" s="54"/>
      <c r="C243" s="79"/>
      <c r="D243" s="79"/>
      <c r="E243" s="80"/>
      <c r="F243" s="79"/>
      <c r="G243" s="28"/>
      <c r="H243" s="87"/>
    </row>
    <row r="244" spans="1:8" ht="14.25">
      <c r="A244" s="63"/>
      <c r="B244" s="54"/>
      <c r="C244" s="79"/>
      <c r="D244" s="79"/>
      <c r="E244" s="80"/>
      <c r="F244" s="79"/>
      <c r="G244" s="28"/>
      <c r="H244" s="87"/>
    </row>
    <row r="245" spans="1:8" ht="14.25">
      <c r="A245" s="63"/>
      <c r="B245" s="54"/>
      <c r="C245" s="79"/>
      <c r="D245" s="79"/>
      <c r="E245" s="80"/>
      <c r="F245" s="79"/>
      <c r="G245" s="28"/>
      <c r="H245" s="87"/>
    </row>
    <row r="246" spans="1:8" ht="14.25">
      <c r="A246" s="63"/>
      <c r="B246" s="54"/>
      <c r="C246" s="79"/>
      <c r="D246" s="79"/>
      <c r="E246" s="80"/>
      <c r="F246" s="79"/>
      <c r="G246" s="28"/>
      <c r="H246" s="87"/>
    </row>
    <row r="247" spans="1:8" ht="14.25">
      <c r="A247" s="63"/>
      <c r="B247" s="54"/>
      <c r="C247" s="79"/>
      <c r="D247" s="79"/>
      <c r="E247" s="80"/>
      <c r="F247" s="79"/>
      <c r="G247" s="28"/>
      <c r="H247" s="87"/>
    </row>
    <row r="248" spans="1:8" ht="14.25">
      <c r="A248" s="63"/>
      <c r="B248" s="54"/>
      <c r="C248" s="79"/>
      <c r="D248" s="79"/>
      <c r="E248" s="80"/>
      <c r="F248" s="79"/>
      <c r="G248" s="28"/>
      <c r="H248" s="87"/>
    </row>
    <row r="249" spans="1:8" ht="14.25">
      <c r="A249" s="63"/>
      <c r="B249" s="54"/>
      <c r="C249" s="79"/>
      <c r="D249" s="79"/>
      <c r="E249" s="80"/>
      <c r="F249" s="79"/>
      <c r="G249" s="28"/>
      <c r="H249" s="87"/>
    </row>
    <row r="250" spans="1:8" ht="14.25">
      <c r="A250" s="63"/>
      <c r="B250" s="54"/>
      <c r="C250" s="79"/>
      <c r="D250" s="79"/>
      <c r="E250" s="80"/>
      <c r="F250" s="79"/>
      <c r="G250" s="28"/>
      <c r="H250" s="87"/>
    </row>
    <row r="251" spans="1:8" ht="14.25">
      <c r="A251" s="63"/>
      <c r="B251" s="54"/>
      <c r="C251" s="79"/>
      <c r="D251" s="79"/>
      <c r="E251" s="80"/>
      <c r="F251" s="79"/>
      <c r="G251" s="28"/>
      <c r="H251" s="87"/>
    </row>
    <row r="252" spans="1:8" ht="14.25">
      <c r="A252" s="63"/>
      <c r="B252" s="54"/>
      <c r="C252" s="79"/>
      <c r="D252" s="79"/>
      <c r="E252" s="80"/>
      <c r="F252" s="79"/>
      <c r="G252" s="28"/>
      <c r="H252" s="87"/>
    </row>
    <row r="253" spans="1:8" ht="14.25">
      <c r="A253" s="63"/>
      <c r="B253" s="54"/>
      <c r="C253" s="79"/>
      <c r="D253" s="79"/>
      <c r="E253" s="80"/>
      <c r="F253" s="79"/>
      <c r="G253" s="28"/>
      <c r="H253" s="87"/>
    </row>
    <row r="254" spans="1:8" ht="14.25">
      <c r="A254" s="63"/>
      <c r="B254" s="54"/>
      <c r="C254" s="79"/>
      <c r="D254" s="79"/>
      <c r="E254" s="80"/>
      <c r="F254" s="79"/>
      <c r="G254" s="28"/>
      <c r="H254" s="87"/>
    </row>
    <row r="255" spans="1:8" ht="14.25">
      <c r="A255" s="63"/>
      <c r="B255" s="54"/>
      <c r="C255" s="79"/>
      <c r="D255" s="79"/>
      <c r="E255" s="80"/>
      <c r="F255" s="79"/>
      <c r="G255" s="28"/>
      <c r="H255" s="87"/>
    </row>
    <row r="256" spans="1:8" ht="14.25">
      <c r="A256" s="63"/>
      <c r="B256" s="54"/>
      <c r="C256" s="79"/>
      <c r="D256" s="79"/>
      <c r="E256" s="80"/>
      <c r="F256" s="79"/>
      <c r="G256" s="28"/>
      <c r="H256" s="87"/>
    </row>
    <row r="257" spans="1:8" ht="14.25">
      <c r="A257" s="63"/>
      <c r="B257" s="54"/>
      <c r="C257" s="79"/>
      <c r="D257" s="79"/>
      <c r="E257" s="80"/>
      <c r="F257" s="79"/>
      <c r="G257" s="28"/>
      <c r="H257" s="87"/>
    </row>
    <row r="258" spans="1:8" ht="14.25">
      <c r="A258" s="63"/>
      <c r="B258" s="54"/>
      <c r="C258" s="79"/>
      <c r="D258" s="79"/>
      <c r="E258" s="80"/>
      <c r="F258" s="79"/>
      <c r="G258" s="28"/>
      <c r="H258" s="87"/>
    </row>
    <row r="259" spans="1:8" ht="14.25">
      <c r="A259" s="63"/>
      <c r="B259" s="54"/>
      <c r="C259" s="79"/>
      <c r="D259" s="79"/>
      <c r="E259" s="80"/>
      <c r="F259" s="79"/>
      <c r="G259" s="28"/>
      <c r="H259" s="87"/>
    </row>
    <row r="260" spans="1:8" ht="14.25">
      <c r="A260" s="63"/>
      <c r="B260" s="54"/>
      <c r="C260" s="79"/>
      <c r="D260" s="79"/>
      <c r="E260" s="80"/>
      <c r="F260" s="79"/>
      <c r="G260" s="28"/>
      <c r="H260" s="87"/>
    </row>
    <row r="261" spans="1:8" ht="14.25">
      <c r="A261" s="63"/>
      <c r="B261" s="54"/>
      <c r="C261" s="79"/>
      <c r="D261" s="79"/>
      <c r="E261" s="80"/>
      <c r="F261" s="79"/>
      <c r="G261" s="28"/>
      <c r="H261" s="87"/>
    </row>
    <row r="262" spans="1:8" ht="14.25">
      <c r="A262" s="63"/>
      <c r="B262" s="54"/>
      <c r="C262" s="79"/>
      <c r="D262" s="79"/>
      <c r="E262" s="80"/>
      <c r="F262" s="79"/>
      <c r="G262" s="28"/>
      <c r="H262" s="87"/>
    </row>
    <row r="263" spans="1:8" ht="14.25">
      <c r="A263" s="63"/>
      <c r="B263" s="54"/>
      <c r="C263" s="79"/>
      <c r="D263" s="79"/>
      <c r="E263" s="80"/>
      <c r="F263" s="79"/>
      <c r="G263" s="28"/>
      <c r="H263" s="87"/>
    </row>
    <row r="264" spans="1:8" ht="14.25">
      <c r="A264" s="63"/>
      <c r="B264" s="54"/>
      <c r="C264" s="79"/>
      <c r="D264" s="79"/>
      <c r="E264" s="80"/>
      <c r="F264" s="79"/>
      <c r="G264" s="28"/>
      <c r="H264" s="87"/>
    </row>
    <row r="265" spans="1:8" ht="14.25">
      <c r="A265" s="63"/>
      <c r="B265" s="54"/>
      <c r="C265" s="79"/>
      <c r="D265" s="79"/>
      <c r="E265" s="80"/>
      <c r="F265" s="79"/>
      <c r="G265" s="28"/>
      <c r="H265" s="87"/>
    </row>
    <row r="266" spans="1:8" ht="14.25">
      <c r="A266" s="63"/>
      <c r="B266" s="54"/>
      <c r="C266" s="79"/>
      <c r="D266" s="79"/>
      <c r="E266" s="80"/>
      <c r="F266" s="79"/>
      <c r="G266" s="28"/>
      <c r="H266" s="87"/>
    </row>
    <row r="267" spans="1:8" ht="14.25">
      <c r="A267" s="63"/>
      <c r="B267" s="54"/>
      <c r="C267" s="79"/>
      <c r="D267" s="79"/>
      <c r="E267" s="80"/>
      <c r="F267" s="79"/>
      <c r="G267" s="28"/>
      <c r="H267" s="87"/>
    </row>
    <row r="268" spans="1:8" ht="14.25">
      <c r="A268" s="63"/>
      <c r="B268" s="54"/>
      <c r="C268" s="79"/>
      <c r="D268" s="79"/>
      <c r="E268" s="80"/>
      <c r="F268" s="79"/>
      <c r="G268" s="28"/>
      <c r="H268" s="87"/>
    </row>
    <row r="269" spans="1:8" ht="14.25">
      <c r="A269" s="63"/>
      <c r="B269" s="54"/>
      <c r="C269" s="79"/>
      <c r="D269" s="79"/>
      <c r="E269" s="80"/>
      <c r="F269" s="79"/>
      <c r="G269" s="28"/>
      <c r="H269" s="87"/>
    </row>
    <row r="270" spans="1:8" ht="14.25">
      <c r="A270" s="63"/>
      <c r="B270" s="54"/>
      <c r="C270" s="79"/>
      <c r="D270" s="79"/>
      <c r="E270" s="80"/>
      <c r="F270" s="79"/>
      <c r="G270" s="28"/>
      <c r="H270" s="87"/>
    </row>
    <row r="271" spans="1:8" ht="14.25">
      <c r="A271" s="63"/>
      <c r="B271" s="54"/>
      <c r="C271" s="79"/>
      <c r="D271" s="79"/>
      <c r="E271" s="80"/>
      <c r="F271" s="79"/>
      <c r="G271" s="28"/>
      <c r="H271" s="87"/>
    </row>
    <row r="272" spans="1:8" ht="14.25">
      <c r="A272" s="63"/>
      <c r="B272" s="54"/>
      <c r="C272" s="79"/>
      <c r="D272" s="79"/>
      <c r="E272" s="80"/>
      <c r="F272" s="79"/>
      <c r="G272" s="28"/>
      <c r="H272" s="87"/>
    </row>
    <row r="273" spans="1:8" ht="14.25">
      <c r="A273" s="63"/>
      <c r="B273" s="54"/>
      <c r="C273" s="79"/>
      <c r="D273" s="79"/>
      <c r="E273" s="80"/>
      <c r="F273" s="79"/>
      <c r="G273" s="28"/>
      <c r="H273" s="87"/>
    </row>
    <row r="274" spans="1:8" ht="14.25">
      <c r="A274" s="63"/>
      <c r="B274" s="54"/>
      <c r="C274" s="79"/>
      <c r="D274" s="79"/>
      <c r="E274" s="80"/>
      <c r="F274" s="79"/>
      <c r="G274" s="28"/>
      <c r="H274" s="87"/>
    </row>
    <row r="275" spans="1:8" ht="14.25">
      <c r="A275" s="63"/>
      <c r="B275" s="54"/>
      <c r="C275" s="79"/>
      <c r="D275" s="79"/>
      <c r="E275" s="80"/>
      <c r="F275" s="79"/>
      <c r="G275" s="28"/>
      <c r="H275" s="87"/>
    </row>
    <row r="276" spans="1:8" ht="14.25">
      <c r="A276" s="63"/>
      <c r="B276" s="54"/>
      <c r="C276" s="79"/>
      <c r="D276" s="79"/>
      <c r="E276" s="80"/>
      <c r="F276" s="79"/>
      <c r="G276" s="28"/>
      <c r="H276" s="87"/>
    </row>
    <row r="277" spans="1:8" ht="14.25">
      <c r="A277" s="63"/>
      <c r="B277" s="54"/>
      <c r="C277" s="79"/>
      <c r="D277" s="79"/>
      <c r="E277" s="80"/>
      <c r="F277" s="79"/>
      <c r="G277" s="28"/>
      <c r="H277" s="87"/>
    </row>
    <row r="278" spans="1:8" ht="14.25">
      <c r="A278" s="63"/>
      <c r="B278" s="54"/>
      <c r="C278" s="79"/>
      <c r="D278" s="79"/>
      <c r="E278" s="80"/>
      <c r="F278" s="79"/>
      <c r="G278" s="28"/>
      <c r="H278" s="87"/>
    </row>
    <row r="279" spans="1:8" ht="14.25">
      <c r="A279" s="63"/>
      <c r="B279" s="54"/>
      <c r="C279" s="79"/>
      <c r="D279" s="79"/>
      <c r="E279" s="80"/>
      <c r="F279" s="79"/>
      <c r="G279" s="28"/>
      <c r="H279" s="87"/>
    </row>
    <row r="280" spans="1:8" ht="14.25">
      <c r="A280" s="63"/>
      <c r="B280" s="54"/>
      <c r="C280" s="79"/>
      <c r="D280" s="79"/>
      <c r="E280" s="80"/>
      <c r="F280" s="79"/>
      <c r="G280" s="28"/>
      <c r="H280" s="87"/>
    </row>
    <row r="281" spans="1:8" ht="14.25">
      <c r="A281" s="63"/>
      <c r="B281" s="54"/>
      <c r="C281" s="79"/>
      <c r="D281" s="79"/>
      <c r="E281" s="80"/>
      <c r="F281" s="79"/>
      <c r="G281" s="28"/>
      <c r="H281" s="87"/>
    </row>
    <row r="282" spans="1:8" ht="14.25">
      <c r="A282" s="63"/>
      <c r="B282" s="54"/>
      <c r="C282" s="79"/>
      <c r="D282" s="79"/>
      <c r="E282" s="80"/>
      <c r="F282" s="79"/>
      <c r="G282" s="28"/>
      <c r="H282" s="87"/>
    </row>
    <row r="283" spans="1:8" ht="14.25">
      <c r="A283" s="63"/>
      <c r="B283" s="54"/>
      <c r="C283" s="79"/>
      <c r="D283" s="79"/>
      <c r="E283" s="80"/>
      <c r="F283" s="79"/>
      <c r="G283" s="28"/>
      <c r="H283" s="87"/>
    </row>
    <row r="284" spans="1:8" ht="14.25">
      <c r="A284" s="63"/>
      <c r="B284" s="54"/>
      <c r="C284" s="79"/>
      <c r="D284" s="79"/>
      <c r="E284" s="80"/>
      <c r="F284" s="79"/>
      <c r="G284" s="28"/>
      <c r="H284" s="87"/>
    </row>
    <row r="285" spans="1:8" ht="14.25">
      <c r="A285" s="63"/>
      <c r="B285" s="54"/>
      <c r="C285" s="79"/>
      <c r="D285" s="79"/>
      <c r="E285" s="80"/>
      <c r="F285" s="79"/>
      <c r="G285" s="28"/>
      <c r="H285" s="87"/>
    </row>
    <row r="286" spans="1:8" ht="14.25">
      <c r="A286" s="63"/>
      <c r="B286" s="54"/>
      <c r="C286" s="79"/>
      <c r="D286" s="79"/>
      <c r="E286" s="80"/>
      <c r="F286" s="79"/>
      <c r="G286" s="28"/>
      <c r="H286" s="87"/>
    </row>
    <row r="287" spans="1:8" ht="14.25">
      <c r="A287" s="63"/>
      <c r="B287" s="54"/>
      <c r="C287" s="79"/>
      <c r="D287" s="79"/>
      <c r="E287" s="80"/>
      <c r="F287" s="79"/>
      <c r="G287" s="28"/>
      <c r="H287" s="87"/>
    </row>
    <row r="288" spans="1:8" ht="14.25">
      <c r="A288" s="63"/>
      <c r="B288" s="54"/>
      <c r="C288" s="79"/>
      <c r="D288" s="79"/>
      <c r="E288" s="80"/>
      <c r="F288" s="79"/>
      <c r="G288" s="28"/>
      <c r="H288" s="87"/>
    </row>
    <row r="289" spans="1:8" ht="14.25">
      <c r="A289" s="63"/>
      <c r="B289" s="54"/>
      <c r="C289" s="79"/>
      <c r="D289" s="79"/>
      <c r="E289" s="80"/>
      <c r="F289" s="79"/>
      <c r="G289" s="28"/>
      <c r="H289" s="87"/>
    </row>
    <row r="290" spans="1:8" ht="14.25">
      <c r="A290" s="63"/>
      <c r="B290" s="54"/>
      <c r="C290" s="79"/>
      <c r="D290" s="79"/>
      <c r="E290" s="80"/>
      <c r="F290" s="79"/>
      <c r="G290" s="28"/>
      <c r="H290" s="87"/>
    </row>
    <row r="291" spans="1:8" ht="14.25">
      <c r="A291" s="63"/>
      <c r="B291" s="54"/>
      <c r="C291" s="79"/>
      <c r="D291" s="79"/>
      <c r="E291" s="80"/>
      <c r="F291" s="79"/>
      <c r="G291" s="28"/>
      <c r="H291" s="87"/>
    </row>
    <row r="292" spans="1:8" ht="14.25">
      <c r="A292" s="63"/>
      <c r="B292" s="54"/>
      <c r="C292" s="79"/>
      <c r="D292" s="79"/>
      <c r="E292" s="80"/>
      <c r="F292" s="79"/>
      <c r="G292" s="28"/>
      <c r="H292" s="87"/>
    </row>
    <row r="293" spans="1:8" ht="14.25">
      <c r="A293" s="63"/>
      <c r="B293" s="54"/>
      <c r="C293" s="79"/>
      <c r="D293" s="79"/>
      <c r="E293" s="80"/>
      <c r="F293" s="79"/>
      <c r="G293" s="28"/>
      <c r="H293" s="87"/>
    </row>
    <row r="294" spans="1:8" ht="14.25">
      <c r="A294" s="63"/>
      <c r="B294" s="54"/>
      <c r="C294" s="79"/>
      <c r="D294" s="79"/>
      <c r="E294" s="80"/>
      <c r="F294" s="79"/>
      <c r="G294" s="28"/>
      <c r="H294" s="87"/>
    </row>
    <row r="295" spans="1:8" ht="14.25">
      <c r="A295" s="63"/>
      <c r="B295" s="54"/>
      <c r="C295" s="79"/>
      <c r="D295" s="79"/>
      <c r="E295" s="80"/>
      <c r="F295" s="79"/>
      <c r="G295" s="28"/>
      <c r="H295" s="87"/>
    </row>
    <row r="296" spans="1:8" ht="14.25">
      <c r="A296" s="63"/>
      <c r="B296" s="54"/>
      <c r="C296" s="79"/>
      <c r="D296" s="79"/>
      <c r="E296" s="80"/>
      <c r="F296" s="79"/>
      <c r="G296" s="28"/>
      <c r="H296" s="87"/>
    </row>
    <row r="297" spans="1:8" ht="14.25">
      <c r="A297" s="63"/>
      <c r="B297" s="54"/>
      <c r="C297" s="79"/>
      <c r="D297" s="79"/>
      <c r="E297" s="80"/>
      <c r="F297" s="79"/>
      <c r="G297" s="28"/>
      <c r="H297" s="87"/>
    </row>
    <row r="298" spans="1:8" ht="14.25">
      <c r="A298" s="63"/>
      <c r="B298" s="54"/>
      <c r="C298" s="79"/>
      <c r="D298" s="79"/>
      <c r="E298" s="80"/>
      <c r="F298" s="79"/>
      <c r="G298" s="28"/>
      <c r="H298" s="87"/>
    </row>
    <row r="299" spans="1:8" ht="14.25">
      <c r="A299" s="63"/>
      <c r="B299" s="54"/>
      <c r="C299" s="79"/>
      <c r="D299" s="79"/>
      <c r="E299" s="80"/>
      <c r="F299" s="79"/>
      <c r="G299" s="28"/>
      <c r="H299" s="87"/>
    </row>
    <row r="300" spans="1:8" ht="14.25">
      <c r="A300" s="63"/>
      <c r="B300" s="54"/>
      <c r="C300" s="79"/>
      <c r="D300" s="79"/>
      <c r="E300" s="80"/>
      <c r="F300" s="79"/>
      <c r="G300" s="28"/>
      <c r="H300" s="87"/>
    </row>
    <row r="301" spans="1:8" ht="14.25">
      <c r="A301" s="63"/>
      <c r="B301" s="54"/>
      <c r="C301" s="79"/>
      <c r="D301" s="79"/>
      <c r="E301" s="80"/>
      <c r="F301" s="79"/>
      <c r="G301" s="28"/>
      <c r="H301" s="87"/>
    </row>
    <row r="302" spans="1:8" ht="14.25">
      <c r="A302" s="63"/>
      <c r="B302" s="54"/>
      <c r="C302" s="79"/>
      <c r="D302" s="79"/>
      <c r="E302" s="80"/>
      <c r="F302" s="79"/>
      <c r="G302" s="28"/>
      <c r="H302" s="87"/>
    </row>
    <row r="303" spans="1:8" ht="14.25">
      <c r="A303" s="63"/>
      <c r="B303" s="54"/>
      <c r="C303" s="79"/>
      <c r="D303" s="79"/>
      <c r="E303" s="80"/>
      <c r="F303" s="79"/>
      <c r="G303" s="28"/>
      <c r="H303" s="87"/>
    </row>
    <row r="304" spans="1:8" ht="14.25">
      <c r="A304" s="63"/>
      <c r="B304" s="54"/>
      <c r="C304" s="79"/>
      <c r="D304" s="79"/>
      <c r="E304" s="80"/>
      <c r="F304" s="79"/>
      <c r="G304" s="28"/>
      <c r="H304" s="87"/>
    </row>
    <row r="305" spans="1:8" ht="14.25">
      <c r="A305" s="63"/>
      <c r="B305" s="54"/>
      <c r="C305" s="79"/>
      <c r="D305" s="79"/>
      <c r="E305" s="80"/>
      <c r="F305" s="79"/>
      <c r="G305" s="28"/>
      <c r="H305" s="87"/>
    </row>
    <row r="306" spans="1:8" ht="14.25">
      <c r="A306" s="63"/>
      <c r="B306" s="54"/>
      <c r="C306" s="79"/>
      <c r="D306" s="79"/>
      <c r="E306" s="80"/>
      <c r="F306" s="79"/>
      <c r="G306" s="28"/>
      <c r="H306" s="87"/>
    </row>
    <row r="307" spans="1:8" ht="14.25">
      <c r="A307" s="63"/>
      <c r="B307" s="54"/>
      <c r="C307" s="79"/>
      <c r="D307" s="79"/>
      <c r="E307" s="80"/>
      <c r="F307" s="79"/>
      <c r="G307" s="28"/>
      <c r="H307" s="87"/>
    </row>
  </sheetData>
  <mergeCells count="23">
    <mergeCell ref="A99:H99"/>
    <mergeCell ref="A1:H1"/>
    <mergeCell ref="A2:H2"/>
    <mergeCell ref="A3:H3"/>
    <mergeCell ref="A4:H4"/>
    <mergeCell ref="A54:H54"/>
    <mergeCell ref="A58:H58"/>
    <mergeCell ref="A73:H73"/>
    <mergeCell ref="A82:H82"/>
    <mergeCell ref="A87:H87"/>
    <mergeCell ref="A97:H97"/>
    <mergeCell ref="G201:H201"/>
    <mergeCell ref="G203:H203"/>
    <mergeCell ref="G204:H204"/>
    <mergeCell ref="D105:G105"/>
    <mergeCell ref="A179:H179"/>
    <mergeCell ref="A194:E196"/>
    <mergeCell ref="G194:H194"/>
    <mergeCell ref="G195:H195"/>
    <mergeCell ref="G196:H196"/>
    <mergeCell ref="G197:H197"/>
    <mergeCell ref="A153:H153"/>
    <mergeCell ref="A188:E188"/>
  </mergeCells>
  <conditionalFormatting sqref="H16">
    <cfRule type="cellIs" dxfId="163" priority="8" operator="equal">
      <formula>0</formula>
    </cfRule>
  </conditionalFormatting>
  <conditionalFormatting sqref="A14 H12">
    <cfRule type="cellIs" dxfId="162" priority="7" operator="equal">
      <formula>0</formula>
    </cfRule>
  </conditionalFormatting>
  <conditionalFormatting sqref="H11">
    <cfRule type="cellIs" dxfId="161" priority="4" operator="equal">
      <formula>0</formula>
    </cfRule>
  </conditionalFormatting>
  <printOptions horizontalCentered="1"/>
  <pageMargins left="0.70866141732283472" right="0.70866141732283472" top="0.78740157480314965" bottom="0.78740157480314965" header="0.31496062992125984" footer="0.31496062992125984"/>
  <pageSetup paperSize="9" scale="94" orientation="portrait" r:id="rId1"/>
  <rowBreaks count="3" manualBreakCount="3">
    <brk id="53" max="7" man="1"/>
    <brk id="96" max="7" man="1"/>
    <brk id="149" max="7" man="1"/>
  </rowBreaks>
  <extLst>
    <ext xmlns:x14="http://schemas.microsoft.com/office/spreadsheetml/2009/9/main" uri="{78C0D931-6437-407d-A8EE-F0AAD7539E65}">
      <x14:conditionalFormattings>
        <x14:conditionalFormatting xmlns:xm="http://schemas.microsoft.com/office/excel/2006/main">
          <x14:cfRule type="expression" priority="6" id="{6AFD2D91-DBE7-4AFF-8900-AEC0705E3DB3}">
            <xm:f>'C:\Users\ba04948\AppData\Local\Microsoft\Windows\Temporary Internet Files\Content.Outlook\UU55GB6B\[20180404_KZP_Musterberechnung lt. GrAus 21.3.2018.xlsx]Copy &amp; Paste'!#REF!&lt;1</xm:f>
            <x14:dxf>
              <font>
                <color theme="0"/>
              </font>
            </x14:dxf>
          </x14:cfRule>
          <xm:sqref>D106:D119 D121:D123</xm:sqref>
        </x14:conditionalFormatting>
        <x14:conditionalFormatting xmlns:xm="http://schemas.microsoft.com/office/excel/2006/main">
          <x14:cfRule type="expression" priority="5" id="{8294D2C2-AF11-4C3F-AF01-5EF3009E43B0}">
            <xm:f>'C:\Users\ba04948\AppData\Local\Microsoft\Windows\Temporary Internet Files\Content.Outlook\UU55GB6B\[20180404_KZP_Musterberechnung lt. GrAus 21.3.2018.xlsx]Copy &amp; Paste'!#REF!&lt;1</xm:f>
            <x14:dxf>
              <font>
                <color theme="0"/>
              </font>
            </x14:dxf>
          </x14:cfRule>
          <xm:sqref>H107:H119 H121:H123</xm:sqref>
        </x14:conditionalFormatting>
        <x14:conditionalFormatting xmlns:xm="http://schemas.microsoft.com/office/excel/2006/main">
          <x14:cfRule type="expression" priority="3" id="{57721378-1D98-436C-999A-2C66A2942114}">
            <xm:f>Ergebnis!$E$28=0</xm:f>
            <x14:dxf>
              <font>
                <color theme="0"/>
              </font>
            </x14:dxf>
          </x14:cfRule>
          <xm:sqref>A136:I136</xm:sqref>
        </x14:conditionalFormatting>
        <x14:conditionalFormatting xmlns:xm="http://schemas.microsoft.com/office/excel/2006/main">
          <x14:cfRule type="expression" priority="2" id="{B9A4687E-07F9-4D31-8EBA-9BFC1F3E98D9}">
            <xm:f>Ergebnis!$E$28=0</xm:f>
            <x14:dxf>
              <font>
                <color theme="0"/>
              </font>
            </x14:dxf>
          </x14:cfRule>
          <xm:sqref>B138:B140</xm:sqref>
        </x14:conditionalFormatting>
        <x14:conditionalFormatting xmlns:xm="http://schemas.microsoft.com/office/excel/2006/main">
          <x14:cfRule type="expression" priority="1" id="{3EFCAD6B-4B39-414C-8778-88830DD51118}">
            <xm:f>Ergebnis!$E$28=0</xm:f>
            <x14:dxf>
              <font>
                <color theme="0"/>
              </font>
            </x14:dxf>
          </x14:cfRule>
          <xm:sqref>A132:H140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3">
    <tabColor rgb="FF92D050"/>
  </sheetPr>
  <dimension ref="A1:N327"/>
  <sheetViews>
    <sheetView topLeftCell="A157" zoomScale="120" zoomScaleNormal="120" zoomScaleSheetLayoutView="100" workbookViewId="0">
      <selection activeCell="L177" sqref="L177"/>
    </sheetView>
  </sheetViews>
  <sheetFormatPr baseColWidth="10" defaultRowHeight="12.75"/>
  <cols>
    <col min="1" max="1" width="4.28515625" customWidth="1"/>
    <col min="2" max="2" width="2.42578125" customWidth="1"/>
    <col min="3" max="3" width="16.7109375" customWidth="1"/>
    <col min="5" max="5" width="10.140625" customWidth="1"/>
    <col min="6" max="6" width="2.7109375" customWidth="1"/>
    <col min="8" max="8" width="32.7109375" customWidth="1"/>
  </cols>
  <sheetData>
    <row r="1" spans="1:10" ht="18">
      <c r="A1" s="4615" t="s">
        <v>1325</v>
      </c>
      <c r="B1" s="4615"/>
      <c r="C1" s="4615"/>
      <c r="D1" s="4615"/>
      <c r="E1" s="4615"/>
      <c r="F1" s="4615"/>
      <c r="G1" s="4615"/>
      <c r="H1" s="4615"/>
      <c r="I1" s="544">
        <f ca="1">TODAY()</f>
        <v>45750</v>
      </c>
      <c r="J1" s="545" t="s">
        <v>1456</v>
      </c>
    </row>
    <row r="2" spans="1:10" ht="18">
      <c r="A2" s="4615" t="str">
        <f ca="1">"Vereinbarung gemäß §§ 84, 85 und § 87 SGB XI vom "&amp;TEXT(I1,"TT.MM.JJJJ")</f>
        <v>Vereinbarung gemäß §§ 84, 85 und § 87 SGB XI vom 03.04.2025</v>
      </c>
      <c r="B2" s="4615"/>
      <c r="C2" s="4615"/>
      <c r="D2" s="4615"/>
      <c r="E2" s="4615"/>
      <c r="F2" s="4615"/>
      <c r="G2" s="4615"/>
      <c r="H2" s="4615"/>
    </row>
    <row r="3" spans="1:10" ht="18">
      <c r="A3" s="4615" t="s">
        <v>280</v>
      </c>
      <c r="B3" s="4615"/>
      <c r="C3" s="4615"/>
      <c r="D3" s="4615"/>
      <c r="E3" s="4615"/>
      <c r="F3" s="4615"/>
      <c r="G3" s="4615"/>
      <c r="H3" s="4615"/>
    </row>
    <row r="4" spans="1:10" ht="18">
      <c r="A4" s="4615" t="s">
        <v>1326</v>
      </c>
      <c r="B4" s="4615"/>
      <c r="C4" s="4615"/>
      <c r="D4" s="4615"/>
      <c r="E4" s="4615"/>
      <c r="F4" s="4615"/>
      <c r="G4" s="4615"/>
      <c r="H4" s="4615"/>
    </row>
    <row r="5" spans="1:10" ht="14.25">
      <c r="A5" s="54"/>
      <c r="B5" s="54"/>
      <c r="C5" s="54"/>
      <c r="D5" s="54"/>
      <c r="E5" s="54"/>
      <c r="F5" s="54"/>
      <c r="G5" s="55"/>
      <c r="H5" s="55"/>
    </row>
    <row r="6" spans="1:10" ht="14.25">
      <c r="A6" s="54" t="s">
        <v>103</v>
      </c>
      <c r="B6" s="54"/>
      <c r="C6" s="54"/>
      <c r="D6" s="54"/>
      <c r="E6" s="54"/>
      <c r="F6" s="54"/>
      <c r="G6" s="55"/>
      <c r="H6" s="55"/>
    </row>
    <row r="7" spans="1:10" ht="14.25">
      <c r="A7" s="54"/>
      <c r="B7" s="54"/>
      <c r="C7" s="54"/>
      <c r="D7" s="54"/>
      <c r="E7" s="54"/>
      <c r="F7" s="54"/>
      <c r="G7" s="55"/>
      <c r="H7" s="55"/>
    </row>
    <row r="8" spans="1:10" ht="15">
      <c r="A8" s="112" t="str">
        <f>CONCATENATE(Träger," ",Träger2)</f>
        <v xml:space="preserve"> </v>
      </c>
      <c r="B8" s="112"/>
      <c r="C8" s="112"/>
      <c r="D8" s="112"/>
      <c r="E8" s="112"/>
      <c r="F8" s="54"/>
      <c r="G8" s="55"/>
      <c r="H8" s="55"/>
    </row>
    <row r="9" spans="1:10" ht="15">
      <c r="A9" s="56" t="str">
        <f>'Seite 1'!F7</f>
        <v/>
      </c>
      <c r="B9" s="54"/>
      <c r="C9" s="54"/>
      <c r="D9" s="54"/>
      <c r="E9" s="54"/>
      <c r="F9" s="54"/>
      <c r="G9" s="55"/>
      <c r="H9" s="55"/>
    </row>
    <row r="10" spans="1:10" ht="15">
      <c r="A10" s="56" t="str">
        <f>CONCATENATE('Seite 1'!$F$8," ",'Seite 1'!$G$8)</f>
        <v xml:space="preserve"> </v>
      </c>
      <c r="B10" s="54"/>
      <c r="C10" s="54"/>
      <c r="D10" s="54"/>
      <c r="E10" s="54"/>
      <c r="F10" s="54"/>
      <c r="G10" s="55"/>
      <c r="H10" s="57" t="s">
        <v>15</v>
      </c>
    </row>
    <row r="11" spans="1:10" ht="15">
      <c r="A11" s="56"/>
      <c r="B11" s="54"/>
      <c r="C11" s="54"/>
      <c r="D11" s="54"/>
      <c r="E11" s="54"/>
      <c r="F11" s="54"/>
      <c r="G11" s="55"/>
      <c r="H11" s="535">
        <f>IK</f>
        <v>0</v>
      </c>
    </row>
    <row r="12" spans="1:10" ht="14.25">
      <c r="A12" s="54" t="s">
        <v>104</v>
      </c>
      <c r="B12" s="54"/>
      <c r="C12" s="54"/>
      <c r="D12" s="54"/>
      <c r="E12" s="54"/>
      <c r="F12" s="54"/>
      <c r="G12" s="55"/>
      <c r="H12" s="585"/>
    </row>
    <row r="13" spans="1:10" ht="14.25">
      <c r="A13" s="54"/>
      <c r="B13" s="54"/>
      <c r="C13" s="54"/>
      <c r="D13" s="54"/>
      <c r="E13" s="54"/>
      <c r="F13" s="54"/>
      <c r="G13" s="55"/>
      <c r="H13" s="55"/>
    </row>
    <row r="14" spans="1:10" ht="15">
      <c r="A14" s="56">
        <f>IF('Copy &amp; Paste'!B6="",'Copy &amp; Paste'!B5,CONCATENATE('Copy &amp; Paste'!B5,", - ",'Copy &amp; Paste'!B6,"- , "))</f>
        <v>0</v>
      </c>
      <c r="B14" s="54"/>
      <c r="C14" s="54"/>
      <c r="D14" s="54"/>
      <c r="E14" s="54"/>
      <c r="F14" s="54"/>
      <c r="G14" s="55"/>
    </row>
    <row r="15" spans="1:10" ht="15">
      <c r="A15" s="56" t="str">
        <f>'Seite 1'!C7</f>
        <v/>
      </c>
      <c r="B15" s="54"/>
      <c r="C15" s="54"/>
      <c r="D15" s="54"/>
      <c r="E15" s="54"/>
      <c r="F15" s="54"/>
      <c r="G15" s="55"/>
      <c r="H15" s="453" t="s">
        <v>1212</v>
      </c>
    </row>
    <row r="16" spans="1:10" ht="15">
      <c r="A16" s="56" t="str">
        <f>CONCATENATE('Seite 1'!$C$8," ",'Seite 1'!$D$8)</f>
        <v xml:space="preserve"> </v>
      </c>
      <c r="B16" s="54"/>
      <c r="C16" s="54"/>
      <c r="D16" s="54"/>
      <c r="E16" s="54"/>
      <c r="F16" s="54"/>
      <c r="G16" s="55"/>
      <c r="H16" s="543">
        <f>'Copy &amp; Paste'!B15</f>
        <v>0</v>
      </c>
    </row>
    <row r="17" spans="1:8" ht="14.25">
      <c r="A17" s="54"/>
      <c r="B17" s="54"/>
      <c r="C17" s="54"/>
      <c r="D17" s="54"/>
      <c r="E17" s="54"/>
      <c r="F17" s="54"/>
      <c r="G17" s="55"/>
      <c r="H17" s="598"/>
    </row>
    <row r="18" spans="1:8" ht="14.25">
      <c r="A18" s="59" t="s">
        <v>746</v>
      </c>
      <c r="B18" s="59"/>
      <c r="C18" s="59"/>
      <c r="D18" s="59"/>
      <c r="E18" s="59"/>
      <c r="F18" s="59"/>
      <c r="G18" s="59"/>
      <c r="H18" s="60" t="s">
        <v>741</v>
      </c>
    </row>
    <row r="19" spans="1:8" ht="14.25">
      <c r="A19" s="54"/>
      <c r="B19" s="54"/>
      <c r="C19" s="54"/>
      <c r="D19" s="54"/>
      <c r="E19" s="54"/>
      <c r="F19" s="54"/>
      <c r="G19" s="55"/>
      <c r="H19" s="55"/>
    </row>
    <row r="20" spans="1:8" ht="14.25">
      <c r="A20" s="54" t="s">
        <v>105</v>
      </c>
      <c r="B20" s="54"/>
      <c r="C20" s="54" t="s">
        <v>743</v>
      </c>
      <c r="D20" s="54"/>
      <c r="E20" s="54"/>
      <c r="F20" s="54"/>
      <c r="G20" s="55"/>
      <c r="H20" s="55"/>
    </row>
    <row r="21" spans="1:8" ht="14.25">
      <c r="A21" s="54"/>
      <c r="B21" s="54"/>
      <c r="C21" s="54"/>
      <c r="D21" s="54"/>
      <c r="E21" s="54"/>
      <c r="F21" s="54"/>
      <c r="G21" s="55"/>
      <c r="H21" s="55"/>
    </row>
    <row r="22" spans="1:8" ht="15">
      <c r="A22" s="54" t="s">
        <v>744</v>
      </c>
      <c r="B22" s="55"/>
      <c r="C22" s="56" t="s">
        <v>747</v>
      </c>
      <c r="D22" s="55"/>
      <c r="E22" s="55"/>
      <c r="F22" s="55"/>
      <c r="G22" s="55"/>
      <c r="H22" s="55"/>
    </row>
    <row r="23" spans="1:8" ht="15">
      <c r="A23" s="54" t="s">
        <v>744</v>
      </c>
      <c r="B23" s="54"/>
      <c r="C23" s="56" t="s">
        <v>880</v>
      </c>
      <c r="D23" s="54"/>
      <c r="E23" s="54"/>
      <c r="F23" s="54"/>
      <c r="G23" s="55"/>
      <c r="H23" s="55"/>
    </row>
    <row r="24" spans="1:8" ht="15">
      <c r="A24" s="54" t="s">
        <v>745</v>
      </c>
      <c r="B24" s="54"/>
      <c r="C24" s="56" t="s">
        <v>350</v>
      </c>
      <c r="D24" s="54"/>
      <c r="E24" s="54"/>
      <c r="F24" s="54"/>
      <c r="G24" s="55"/>
      <c r="H24" s="55"/>
    </row>
    <row r="25" spans="1:8" ht="14.25">
      <c r="A25" s="54"/>
      <c r="B25" s="54"/>
      <c r="C25" s="54" t="s">
        <v>347</v>
      </c>
      <c r="D25" s="54"/>
      <c r="E25" s="54"/>
      <c r="F25" s="54"/>
      <c r="G25" s="55"/>
      <c r="H25" s="55"/>
    </row>
    <row r="26" spans="1:8" ht="15">
      <c r="A26" s="54" t="s">
        <v>744</v>
      </c>
      <c r="B26" s="54"/>
      <c r="C26" s="56" t="s">
        <v>1407</v>
      </c>
      <c r="D26" s="54"/>
      <c r="E26" s="54"/>
      <c r="F26" s="54"/>
      <c r="G26" s="55"/>
      <c r="H26" s="55"/>
    </row>
    <row r="27" spans="1:8" ht="15">
      <c r="A27" s="54" t="s">
        <v>744</v>
      </c>
      <c r="B27" s="54"/>
      <c r="C27" s="56" t="s">
        <v>1194</v>
      </c>
      <c r="D27" s="54"/>
      <c r="E27" s="54"/>
      <c r="F27" s="54"/>
      <c r="G27" s="55"/>
      <c r="H27" s="55"/>
    </row>
    <row r="28" spans="1:8" ht="15">
      <c r="A28" s="54" t="s">
        <v>744</v>
      </c>
      <c r="B28" s="54"/>
      <c r="C28" s="56" t="s">
        <v>787</v>
      </c>
      <c r="D28" s="54"/>
      <c r="E28" s="54"/>
      <c r="F28" s="54"/>
      <c r="G28" s="55"/>
      <c r="H28" s="55"/>
    </row>
    <row r="29" spans="1:8" ht="15">
      <c r="A29" s="54"/>
      <c r="B29" s="54"/>
      <c r="C29" s="56" t="s">
        <v>793</v>
      </c>
      <c r="D29" s="54"/>
      <c r="E29" s="54"/>
      <c r="F29" s="54"/>
      <c r="G29" s="55"/>
      <c r="H29" s="55"/>
    </row>
    <row r="30" spans="1:8" ht="14.25">
      <c r="A30" s="54"/>
      <c r="B30" s="54"/>
      <c r="C30" s="54"/>
      <c r="D30" s="54"/>
      <c r="E30" s="54"/>
      <c r="F30" s="54"/>
      <c r="G30" s="55"/>
      <c r="H30" s="55"/>
    </row>
    <row r="31" spans="1:8" ht="15">
      <c r="A31" s="54" t="s">
        <v>352</v>
      </c>
      <c r="B31" s="54"/>
      <c r="C31" s="56" t="s">
        <v>353</v>
      </c>
      <c r="D31" s="54"/>
      <c r="E31" s="54"/>
      <c r="F31" s="54"/>
      <c r="G31" s="55"/>
      <c r="H31" s="55"/>
    </row>
    <row r="32" spans="1:8" ht="14.25">
      <c r="A32" s="54"/>
      <c r="B32" s="54"/>
      <c r="C32" s="54"/>
      <c r="D32" s="54"/>
      <c r="E32" s="54"/>
      <c r="F32" s="54"/>
      <c r="G32" s="55"/>
      <c r="H32" s="55"/>
    </row>
    <row r="33" spans="1:8" ht="15">
      <c r="A33" s="54"/>
      <c r="B33" s="54"/>
      <c r="C33" s="63"/>
      <c r="D33" s="64" t="s">
        <v>788</v>
      </c>
      <c r="E33" s="54"/>
      <c r="F33" s="54"/>
      <c r="G33" s="55"/>
      <c r="H33" s="55"/>
    </row>
    <row r="34" spans="1:8" ht="15">
      <c r="A34" s="54"/>
      <c r="B34" s="54"/>
      <c r="C34" s="63"/>
      <c r="D34" s="64" t="s">
        <v>1068</v>
      </c>
      <c r="E34" s="54"/>
      <c r="F34" s="54"/>
      <c r="G34" s="55"/>
      <c r="H34" s="55"/>
    </row>
    <row r="35" spans="1:8" ht="15">
      <c r="A35" s="54"/>
      <c r="B35" s="54"/>
      <c r="C35" s="63"/>
      <c r="D35" s="64" t="s">
        <v>789</v>
      </c>
      <c r="E35" s="54"/>
      <c r="F35" s="54"/>
      <c r="G35" s="55"/>
      <c r="H35" s="55"/>
    </row>
    <row r="36" spans="1:8" ht="15">
      <c r="A36" s="54"/>
      <c r="B36" s="54"/>
      <c r="C36" s="63"/>
      <c r="D36" s="64" t="s">
        <v>790</v>
      </c>
      <c r="E36" s="54"/>
      <c r="F36" s="54"/>
      <c r="G36" s="55"/>
      <c r="H36" s="55"/>
    </row>
    <row r="37" spans="1:8" ht="15">
      <c r="A37" s="54"/>
      <c r="B37" s="54"/>
      <c r="C37" s="63"/>
      <c r="D37" s="64" t="s">
        <v>792</v>
      </c>
      <c r="E37" s="54"/>
      <c r="F37" s="54"/>
      <c r="G37" s="55"/>
      <c r="H37" s="55"/>
    </row>
    <row r="38" spans="1:8" ht="15">
      <c r="A38" s="54"/>
      <c r="B38" s="54"/>
      <c r="C38" s="63"/>
      <c r="D38" s="64" t="s">
        <v>791</v>
      </c>
      <c r="E38" s="54"/>
      <c r="F38" s="54"/>
      <c r="G38" s="55"/>
      <c r="H38" s="55"/>
    </row>
    <row r="39" spans="1:8" ht="14.25">
      <c r="A39" s="54"/>
      <c r="B39" s="54"/>
      <c r="C39" s="54"/>
      <c r="D39" s="54"/>
      <c r="E39" s="54"/>
      <c r="F39" s="54"/>
      <c r="G39" s="55"/>
      <c r="H39" s="55"/>
    </row>
    <row r="40" spans="1:8" ht="14.25">
      <c r="A40" s="53"/>
      <c r="B40" s="54"/>
      <c r="C40" s="54" t="s">
        <v>321</v>
      </c>
      <c r="D40" s="54"/>
      <c r="E40" s="54"/>
      <c r="F40" s="54"/>
      <c r="G40" s="55"/>
      <c r="H40" s="55"/>
    </row>
    <row r="41" spans="1:8" ht="14.25">
      <c r="A41" s="54"/>
      <c r="B41" s="54"/>
      <c r="C41" s="54"/>
      <c r="D41" s="54"/>
      <c r="E41" s="54"/>
      <c r="F41" s="54"/>
      <c r="G41" s="55"/>
      <c r="H41" s="55"/>
    </row>
    <row r="42" spans="1:8" ht="15">
      <c r="A42" s="53"/>
      <c r="B42" s="54"/>
      <c r="C42" s="56" t="s">
        <v>278</v>
      </c>
      <c r="D42" s="54"/>
      <c r="E42" s="54"/>
      <c r="F42" s="54"/>
      <c r="G42" s="55"/>
      <c r="H42" s="55"/>
    </row>
    <row r="43" spans="1:8" ht="14.25">
      <c r="A43" s="53"/>
      <c r="B43" s="54"/>
      <c r="C43" s="65" t="s">
        <v>966</v>
      </c>
      <c r="D43" s="54"/>
      <c r="E43" s="54"/>
      <c r="F43" s="54"/>
      <c r="G43" s="55"/>
      <c r="H43" s="55"/>
    </row>
    <row r="44" spans="1:8" ht="14.25">
      <c r="A44" s="54"/>
      <c r="B44" s="54"/>
      <c r="C44" s="53"/>
      <c r="D44" s="54"/>
      <c r="E44" s="54"/>
      <c r="F44" s="54"/>
      <c r="G44" s="55"/>
      <c r="H44" s="55"/>
    </row>
    <row r="45" spans="1:8" ht="14.25">
      <c r="A45" s="54"/>
      <c r="B45" s="54"/>
      <c r="C45" s="54"/>
      <c r="D45" s="54"/>
      <c r="E45" s="54"/>
      <c r="F45" s="54"/>
      <c r="G45" s="55"/>
      <c r="H45" s="55"/>
    </row>
    <row r="46" spans="1:8" ht="15">
      <c r="A46" s="54" t="s">
        <v>236</v>
      </c>
      <c r="B46" s="54"/>
      <c r="C46" s="54"/>
      <c r="D46" s="56" t="str">
        <f>"Landschaftsverband "&amp;IF(Landesteil="Westfalen-Lippe","Westfalen-Lippe","Rheinland")</f>
        <v>Landschaftsverband Rheinland</v>
      </c>
      <c r="E46" s="54"/>
      <c r="F46" s="54"/>
      <c r="G46" s="55"/>
      <c r="H46" s="55"/>
    </row>
    <row r="47" spans="1:8" ht="14.25">
      <c r="A47" s="54"/>
      <c r="B47" s="54"/>
      <c r="C47" s="54"/>
      <c r="D47" s="54" t="s">
        <v>348</v>
      </c>
      <c r="E47" s="54"/>
      <c r="F47" s="54"/>
      <c r="G47" s="55"/>
      <c r="H47" s="55"/>
    </row>
    <row r="48" spans="1:8" ht="14.25">
      <c r="A48" s="54"/>
      <c r="B48" s="54"/>
      <c r="C48" s="54"/>
      <c r="D48" s="54"/>
      <c r="E48" s="54"/>
      <c r="F48" s="54"/>
      <c r="G48" s="55"/>
      <c r="H48" s="66" t="s">
        <v>742</v>
      </c>
    </row>
    <row r="49" spans="1:8" ht="15">
      <c r="A49" s="54" t="s">
        <v>1376</v>
      </c>
      <c r="B49" s="54"/>
      <c r="C49" s="54"/>
      <c r="D49" s="54"/>
      <c r="E49" s="54"/>
      <c r="F49" s="54"/>
      <c r="G49" s="55"/>
      <c r="H49" s="55"/>
    </row>
    <row r="50" spans="1:8" ht="14.25">
      <c r="A50" s="54"/>
      <c r="B50" s="54"/>
      <c r="C50" s="54"/>
      <c r="D50" s="54"/>
      <c r="E50" s="54"/>
      <c r="F50" s="54"/>
      <c r="G50" s="55"/>
      <c r="H50" s="55"/>
    </row>
    <row r="51" spans="1:8" ht="14.25">
      <c r="A51" s="54"/>
      <c r="B51" s="54"/>
      <c r="C51" s="54"/>
      <c r="D51" s="54"/>
      <c r="E51" s="54"/>
      <c r="F51" s="54"/>
      <c r="G51" s="55"/>
      <c r="H51" s="55"/>
    </row>
    <row r="52" spans="1:8" ht="14.25">
      <c r="A52" s="54"/>
      <c r="B52" s="54"/>
      <c r="C52" s="54"/>
      <c r="D52" s="54"/>
      <c r="E52" s="54"/>
      <c r="F52" s="54"/>
      <c r="G52" s="55"/>
      <c r="H52" s="55"/>
    </row>
    <row r="53" spans="1:8" ht="14.25">
      <c r="A53" s="54"/>
      <c r="B53" s="54"/>
      <c r="C53" s="54"/>
      <c r="D53" s="54"/>
      <c r="E53" s="54"/>
      <c r="F53" s="54"/>
      <c r="G53" s="55"/>
      <c r="H53" s="55"/>
    </row>
    <row r="54" spans="1:8" ht="14.25">
      <c r="A54" s="4623" t="s">
        <v>106</v>
      </c>
      <c r="B54" s="4623"/>
      <c r="C54" s="4623"/>
      <c r="D54" s="4623"/>
      <c r="E54" s="4623"/>
      <c r="F54" s="4623"/>
      <c r="G54" s="4623"/>
      <c r="H54" s="4623"/>
    </row>
    <row r="55" spans="1:8" ht="14.25">
      <c r="A55" s="599"/>
      <c r="B55" s="599"/>
      <c r="C55" s="599"/>
      <c r="D55" s="599"/>
      <c r="E55" s="599"/>
      <c r="F55" s="599"/>
      <c r="G55" s="599"/>
      <c r="H55" s="599"/>
    </row>
    <row r="56" spans="1:8" ht="15">
      <c r="A56" s="4641" t="s">
        <v>107</v>
      </c>
      <c r="B56" s="4641"/>
      <c r="C56" s="4641"/>
      <c r="D56" s="4641"/>
      <c r="E56" s="4641"/>
      <c r="F56" s="4641"/>
      <c r="G56" s="4641"/>
      <c r="H56" s="4641"/>
    </row>
    <row r="57" spans="1:8" ht="14.25">
      <c r="A57" s="54"/>
      <c r="B57" s="54"/>
      <c r="C57" s="54"/>
      <c r="D57" s="54"/>
      <c r="E57" s="54"/>
      <c r="F57" s="54"/>
      <c r="G57" s="54"/>
      <c r="H57" s="54"/>
    </row>
    <row r="58" spans="1:8" ht="16.5">
      <c r="A58" s="54" t="s">
        <v>1377</v>
      </c>
      <c r="B58" s="54"/>
      <c r="C58" s="54"/>
      <c r="D58" s="54"/>
      <c r="E58" s="54"/>
      <c r="F58" s="54"/>
      <c r="G58" s="54"/>
      <c r="H58" s="54"/>
    </row>
    <row r="59" spans="1:8" ht="14.25">
      <c r="A59" s="54" t="s">
        <v>1378</v>
      </c>
      <c r="B59" s="54"/>
      <c r="C59" s="54"/>
      <c r="D59" s="54"/>
      <c r="E59" s="54"/>
      <c r="F59" s="54"/>
      <c r="G59" s="54"/>
      <c r="H59" s="54"/>
    </row>
    <row r="60" spans="1:8" ht="14.25">
      <c r="A60" s="54" t="s">
        <v>1379</v>
      </c>
      <c r="B60" s="54"/>
      <c r="C60" s="54"/>
      <c r="D60" s="54"/>
      <c r="E60" s="54"/>
      <c r="F60" s="54"/>
      <c r="G60" s="54"/>
      <c r="H60" s="54"/>
    </row>
    <row r="61" spans="1:8" ht="14.25">
      <c r="A61" s="54" t="s">
        <v>1380</v>
      </c>
      <c r="B61" s="54"/>
      <c r="C61" s="54"/>
      <c r="D61" s="54"/>
      <c r="E61" s="54"/>
      <c r="F61" s="54"/>
      <c r="G61" s="54"/>
      <c r="H61" s="54"/>
    </row>
    <row r="62" spans="1:8" ht="14.25">
      <c r="A62" s="54" t="s">
        <v>1381</v>
      </c>
      <c r="B62" s="54"/>
      <c r="C62" s="54"/>
      <c r="D62" s="54"/>
      <c r="E62" s="54"/>
      <c r="F62" s="54"/>
      <c r="G62" s="54"/>
      <c r="H62" s="54"/>
    </row>
    <row r="63" spans="1:8" ht="14.25">
      <c r="A63" s="54" t="s">
        <v>1382</v>
      </c>
      <c r="B63" s="54"/>
      <c r="C63" s="54"/>
      <c r="D63" s="54"/>
      <c r="E63" s="54"/>
      <c r="F63" s="54"/>
      <c r="G63" s="54"/>
      <c r="H63" s="54"/>
    </row>
    <row r="64" spans="1:8" ht="15.75">
      <c r="A64" s="54" t="str">
        <f ca="1">"vom "&amp;TEXT(I1,"TT.MM.JJJJ")&amp;". Die übrigen Bestimmungen bleiben unberührt."</f>
        <v>vom 03.04.2025. Die übrigen Bestimmungen bleiben unberührt.</v>
      </c>
      <c r="B64" s="54"/>
      <c r="C64" s="539"/>
      <c r="D64" s="54"/>
      <c r="E64" s="54"/>
      <c r="F64" s="54"/>
      <c r="G64" s="54"/>
      <c r="H64" s="54"/>
    </row>
    <row r="65" spans="1:8" ht="14.25">
      <c r="A65" s="54"/>
      <c r="B65" s="54"/>
      <c r="C65" s="54"/>
      <c r="D65" s="54"/>
      <c r="E65" s="54"/>
      <c r="F65" s="54"/>
      <c r="G65" s="54"/>
      <c r="H65" s="54"/>
    </row>
    <row r="66" spans="1:8" ht="14.25">
      <c r="A66" s="54" t="s">
        <v>1328</v>
      </c>
      <c r="B66" s="54"/>
      <c r="C66" s="54"/>
      <c r="D66" s="54"/>
      <c r="E66" s="54"/>
      <c r="F66" s="54"/>
      <c r="G66" s="54"/>
      <c r="H66" s="54"/>
    </row>
    <row r="67" spans="1:8" ht="14.25">
      <c r="A67" s="54" t="s">
        <v>1329</v>
      </c>
      <c r="B67" s="54"/>
      <c r="C67" s="54"/>
      <c r="D67" s="54"/>
      <c r="E67" s="54"/>
      <c r="F67" s="54"/>
      <c r="G67" s="54"/>
      <c r="H67" s="54"/>
    </row>
    <row r="68" spans="1:8" ht="14.25">
      <c r="A68" s="54" t="s">
        <v>1330</v>
      </c>
      <c r="B68" s="54"/>
      <c r="C68" s="54"/>
      <c r="D68" s="54"/>
      <c r="E68" s="54"/>
      <c r="F68" s="54"/>
      <c r="G68" s="54"/>
      <c r="H68" s="54"/>
    </row>
    <row r="69" spans="1:8" ht="14.25">
      <c r="A69" s="54" t="s">
        <v>1331</v>
      </c>
      <c r="B69" s="54"/>
      <c r="C69" s="54"/>
      <c r="D69" s="54"/>
      <c r="E69" s="54"/>
      <c r="F69" s="54"/>
      <c r="G69" s="54"/>
      <c r="H69" s="54"/>
    </row>
    <row r="70" spans="1:8" ht="14.25">
      <c r="A70" s="54" t="s">
        <v>1332</v>
      </c>
      <c r="B70" s="54"/>
      <c r="C70" s="54"/>
      <c r="D70" s="54"/>
      <c r="E70" s="54"/>
      <c r="F70" s="54"/>
      <c r="G70" s="54"/>
      <c r="H70" s="54"/>
    </row>
    <row r="71" spans="1:8" ht="14.25">
      <c r="A71" s="54"/>
      <c r="B71" s="54"/>
      <c r="C71" s="54"/>
      <c r="D71" s="54"/>
      <c r="E71" s="54"/>
      <c r="F71" s="54"/>
      <c r="G71" s="54"/>
      <c r="H71" s="54"/>
    </row>
    <row r="72" spans="1:8" ht="14.25">
      <c r="A72" s="54" t="s">
        <v>1383</v>
      </c>
      <c r="B72" s="54"/>
      <c r="C72" s="54"/>
      <c r="D72" s="54"/>
      <c r="E72" s="54"/>
      <c r="F72" s="54"/>
      <c r="G72" s="54"/>
      <c r="H72" s="54"/>
    </row>
    <row r="73" spans="1:8" ht="14.25">
      <c r="A73" s="54" t="s">
        <v>1384</v>
      </c>
      <c r="B73" s="54"/>
      <c r="C73" s="54"/>
      <c r="D73" s="54"/>
      <c r="E73" s="54"/>
      <c r="F73" s="54"/>
      <c r="G73" s="54"/>
      <c r="H73" s="54"/>
    </row>
    <row r="74" spans="1:8" ht="14.25">
      <c r="A74" s="54"/>
      <c r="B74" s="54"/>
      <c r="C74" s="54"/>
      <c r="D74" s="54"/>
      <c r="E74" s="54"/>
      <c r="F74" s="54"/>
      <c r="G74" s="54"/>
      <c r="H74" s="54"/>
    </row>
    <row r="75" spans="1:8" ht="15">
      <c r="A75" s="4641" t="s">
        <v>109</v>
      </c>
      <c r="B75" s="4641"/>
      <c r="C75" s="4641"/>
      <c r="D75" s="4641"/>
      <c r="E75" s="4641"/>
      <c r="F75" s="4641"/>
      <c r="G75" s="4641"/>
      <c r="H75" s="4641"/>
    </row>
    <row r="76" spans="1:8" ht="14.25">
      <c r="A76" s="54"/>
      <c r="B76" s="54"/>
      <c r="C76" s="54"/>
      <c r="D76" s="54"/>
      <c r="E76" s="54"/>
      <c r="F76" s="54"/>
      <c r="G76" s="54"/>
      <c r="H76" s="54"/>
    </row>
    <row r="77" spans="1:8" ht="14.25">
      <c r="A77" s="590" t="str">
        <f>"Es werden " &amp;'Copy &amp; Paste'!H12&amp;" (Anzahl) eingestreute Kurzzeitpflegeplätze und "&amp;'Copy &amp; Paste'!I12&amp;" (Anzahl) feste Kurzzeitpflegeplätze"</f>
        <v>Es werden  (Anzahl) eingestreute Kurzzeitpflegeplätze und  (Anzahl) feste Kurzzeitpflegeplätze</v>
      </c>
      <c r="B77" s="54"/>
      <c r="C77" s="54"/>
      <c r="D77" s="54"/>
      <c r="E77" s="54"/>
      <c r="F77" s="54"/>
      <c r="G77" s="54"/>
      <c r="H77" s="54"/>
    </row>
    <row r="78" spans="1:8" ht="14.25">
      <c r="A78" s="54" t="s">
        <v>1385</v>
      </c>
      <c r="B78" s="54"/>
      <c r="C78" s="54"/>
      <c r="D78" s="54"/>
      <c r="E78" s="54"/>
      <c r="F78" s="54"/>
      <c r="G78" s="54"/>
      <c r="H78" s="54"/>
    </row>
    <row r="79" spans="1:8" ht="14.25">
      <c r="A79" s="54" t="s">
        <v>1386</v>
      </c>
      <c r="B79" s="54"/>
      <c r="C79" s="54"/>
      <c r="D79" s="54"/>
      <c r="E79" s="54"/>
      <c r="F79" s="54"/>
      <c r="G79" s="54"/>
      <c r="H79" s="54"/>
    </row>
    <row r="80" spans="1:8" ht="14.25">
      <c r="A80" s="54" t="s">
        <v>1387</v>
      </c>
      <c r="B80" s="54"/>
      <c r="C80" s="54"/>
      <c r="D80" s="54"/>
      <c r="E80" s="54"/>
      <c r="F80" s="54"/>
      <c r="G80" s="54"/>
      <c r="H80" s="54"/>
    </row>
    <row r="81" spans="1:8" ht="14.25">
      <c r="A81" s="54"/>
      <c r="B81" s="54"/>
      <c r="C81" s="54"/>
      <c r="D81" s="54"/>
      <c r="E81" s="54"/>
      <c r="F81" s="54"/>
      <c r="G81" s="54"/>
      <c r="H81" s="54"/>
    </row>
    <row r="82" spans="1:8" ht="14.25">
      <c r="A82" s="54" t="str">
        <f>"Die Nutzung  der "&amp;'Copy &amp; Paste'!I12&amp;" (Anzahl) festen Kurzzeitpflegeplätze ist nur zulässig mit einer Ausnahme-"</f>
        <v>Die Nutzung  der  (Anzahl) festen Kurzzeitpflegeplätze ist nur zulässig mit einer Ausnahme-</v>
      </c>
      <c r="B82" s="54"/>
      <c r="C82" s="54"/>
      <c r="D82" s="54"/>
      <c r="E82" s="54"/>
      <c r="F82" s="54"/>
      <c r="G82" s="54"/>
      <c r="H82" s="54"/>
    </row>
    <row r="83" spans="1:8" ht="14.25">
      <c r="A83" s="54" t="s">
        <v>1388</v>
      </c>
      <c r="B83" s="54"/>
      <c r="C83" s="54"/>
      <c r="D83" s="54"/>
      <c r="E83" s="54"/>
      <c r="F83" s="54"/>
      <c r="G83" s="54"/>
      <c r="H83" s="54"/>
    </row>
    <row r="84" spans="1:8" ht="14.25">
      <c r="A84" s="54" t="s">
        <v>1389</v>
      </c>
      <c r="B84" s="54"/>
      <c r="C84" s="54"/>
      <c r="D84" s="54"/>
      <c r="E84" s="54"/>
      <c r="F84" s="54"/>
      <c r="G84" s="54"/>
      <c r="H84" s="54"/>
    </row>
    <row r="85" spans="1:8" ht="14.25">
      <c r="A85" s="54" t="s">
        <v>1390</v>
      </c>
      <c r="B85" s="54"/>
      <c r="C85" s="54"/>
      <c r="D85" s="54"/>
      <c r="E85" s="54"/>
      <c r="F85" s="54"/>
      <c r="G85" s="54"/>
      <c r="H85" s="54"/>
    </row>
    <row r="86" spans="1:8" ht="14.25">
      <c r="A86" s="54"/>
      <c r="B86" s="54"/>
      <c r="C86" s="54"/>
      <c r="D86" s="54"/>
      <c r="E86" s="54"/>
      <c r="F86" s="54"/>
      <c r="G86" s="54"/>
      <c r="H86" s="54"/>
    </row>
    <row r="87" spans="1:8" ht="14.25">
      <c r="B87" s="54"/>
      <c r="C87" s="54"/>
      <c r="D87" s="54"/>
      <c r="E87" s="54"/>
      <c r="F87" s="54"/>
      <c r="G87" s="54"/>
      <c r="H87" s="54"/>
    </row>
    <row r="88" spans="1:8" ht="15">
      <c r="A88" s="4646" t="s">
        <v>115</v>
      </c>
      <c r="B88" s="4646"/>
      <c r="C88" s="4646"/>
      <c r="D88" s="4646"/>
      <c r="E88" s="4646"/>
      <c r="F88" s="4646"/>
      <c r="G88" s="4646"/>
      <c r="H88" s="4646"/>
    </row>
    <row r="89" spans="1:8" ht="14.25">
      <c r="A89" s="54"/>
      <c r="B89" s="54"/>
      <c r="C89" s="54"/>
      <c r="D89" s="54"/>
      <c r="E89" s="54"/>
      <c r="F89" s="54"/>
      <c r="G89" s="54"/>
      <c r="H89" s="54"/>
    </row>
    <row r="90" spans="1:8" ht="14.25">
      <c r="A90" s="54" t="s">
        <v>1340</v>
      </c>
      <c r="B90" s="54"/>
      <c r="C90" s="54"/>
      <c r="D90" s="54"/>
      <c r="E90" s="54"/>
      <c r="F90" s="54"/>
      <c r="G90" s="54"/>
      <c r="H90" s="54"/>
    </row>
    <row r="91" spans="1:8" ht="14.25">
      <c r="A91" s="54" t="s">
        <v>1341</v>
      </c>
      <c r="B91" s="54"/>
      <c r="C91" s="54"/>
      <c r="D91" s="54"/>
      <c r="E91" s="54"/>
      <c r="F91" s="54"/>
      <c r="G91" s="54"/>
      <c r="H91" s="54"/>
    </row>
    <row r="92" spans="1:8" ht="14.25">
      <c r="A92" s="54"/>
      <c r="B92" s="54"/>
      <c r="C92" s="54"/>
      <c r="D92" s="54"/>
      <c r="E92" s="54"/>
      <c r="F92" s="54"/>
      <c r="G92" s="54"/>
      <c r="H92" s="54"/>
    </row>
    <row r="93" spans="1:8" ht="15">
      <c r="A93" s="4641" t="s">
        <v>1391</v>
      </c>
      <c r="B93" s="4641"/>
      <c r="C93" s="4641"/>
      <c r="D93" s="4641"/>
      <c r="E93" s="4641"/>
      <c r="F93" s="4641"/>
      <c r="G93" s="4641"/>
      <c r="H93" s="4641"/>
    </row>
    <row r="94" spans="1:8" ht="14.25">
      <c r="A94" s="54"/>
      <c r="B94" s="54"/>
      <c r="C94" s="54"/>
      <c r="D94" s="54"/>
      <c r="E94" s="54"/>
      <c r="F94" s="54"/>
      <c r="G94" s="54"/>
      <c r="H94" s="54"/>
    </row>
    <row r="95" spans="1:8" ht="14.25">
      <c r="A95" s="54" t="s">
        <v>1343</v>
      </c>
      <c r="B95" s="54"/>
      <c r="C95" s="54"/>
      <c r="D95" s="54"/>
      <c r="E95" s="54"/>
      <c r="F95" s="54"/>
      <c r="G95" s="54"/>
      <c r="H95" s="54"/>
    </row>
    <row r="96" spans="1:8" ht="14.25">
      <c r="A96" s="93"/>
      <c r="B96" s="93"/>
      <c r="C96" s="93"/>
      <c r="D96" s="93"/>
      <c r="E96" s="54"/>
      <c r="F96" s="54"/>
      <c r="G96" s="54"/>
      <c r="H96" s="54"/>
    </row>
    <row r="97" spans="1:8" ht="14.25">
      <c r="A97" s="54"/>
      <c r="B97" s="54"/>
      <c r="C97" s="54"/>
      <c r="D97" s="54"/>
      <c r="E97" s="54"/>
      <c r="F97" s="54"/>
      <c r="G97" s="54"/>
      <c r="H97" s="54"/>
    </row>
    <row r="98" spans="1:8" ht="10.5" customHeight="1">
      <c r="A98" s="540"/>
      <c r="B98" s="540"/>
      <c r="C98" s="540"/>
      <c r="D98" s="540"/>
      <c r="E98" s="53"/>
      <c r="F98" s="53"/>
      <c r="G98" s="53"/>
      <c r="H98" s="53"/>
    </row>
    <row r="99" spans="1:8" ht="21" customHeight="1">
      <c r="A99" s="53" t="s">
        <v>1392</v>
      </c>
      <c r="B99" s="53"/>
      <c r="C99" s="53"/>
      <c r="D99" s="53"/>
      <c r="E99" s="53"/>
      <c r="F99" s="53"/>
      <c r="G99" s="53"/>
      <c r="H99" s="53"/>
    </row>
    <row r="100" spans="1:8">
      <c r="A100" s="53" t="s">
        <v>1393</v>
      </c>
      <c r="B100" s="53"/>
      <c r="C100" s="53"/>
      <c r="D100" s="53"/>
      <c r="E100" s="53"/>
      <c r="F100" s="53"/>
      <c r="G100" s="53"/>
      <c r="H100" s="53"/>
    </row>
    <row r="101" spans="1:8" ht="14.25">
      <c r="A101" s="54"/>
      <c r="B101" s="54"/>
      <c r="C101" s="54"/>
      <c r="D101" s="54"/>
      <c r="E101" s="54"/>
      <c r="F101" s="54"/>
      <c r="G101" s="54"/>
      <c r="H101" s="54"/>
    </row>
    <row r="102" spans="1:8" ht="14.25">
      <c r="A102" s="54"/>
      <c r="B102" s="54"/>
      <c r="C102" s="54"/>
      <c r="D102" s="54"/>
      <c r="E102" s="54"/>
      <c r="F102" s="54"/>
      <c r="G102" s="54"/>
      <c r="H102" s="54"/>
    </row>
    <row r="103" spans="1:8" ht="14.25">
      <c r="A103" s="4623" t="s">
        <v>299</v>
      </c>
      <c r="B103" s="4623"/>
      <c r="C103" s="4623"/>
      <c r="D103" s="4623"/>
      <c r="E103" s="4623"/>
      <c r="F103" s="4623"/>
      <c r="G103" s="4623"/>
      <c r="H103" s="4623"/>
    </row>
    <row r="104" spans="1:8" ht="14.25">
      <c r="A104" s="54"/>
      <c r="B104" s="54"/>
      <c r="C104" s="54"/>
      <c r="D104" s="54"/>
      <c r="E104" s="54"/>
      <c r="F104" s="54"/>
      <c r="G104" s="54"/>
      <c r="H104" s="54"/>
    </row>
    <row r="105" spans="1:8" ht="15">
      <c r="A105" s="4641" t="s">
        <v>117</v>
      </c>
      <c r="B105" s="4641"/>
      <c r="C105" s="4641"/>
      <c r="D105" s="4641"/>
      <c r="E105" s="4641"/>
      <c r="F105" s="4641"/>
      <c r="G105" s="4641"/>
      <c r="H105" s="4641"/>
    </row>
    <row r="106" spans="1:8" ht="14.25">
      <c r="A106" s="54"/>
      <c r="B106" s="54"/>
      <c r="C106" s="54"/>
      <c r="D106" s="54"/>
      <c r="E106" s="54"/>
      <c r="F106" s="54"/>
      <c r="G106" s="54"/>
      <c r="H106" s="54"/>
    </row>
    <row r="107" spans="1:8" ht="14.25">
      <c r="A107" s="77" t="s">
        <v>1362</v>
      </c>
      <c r="B107" s="54" t="s">
        <v>1344</v>
      </c>
      <c r="C107" s="54"/>
      <c r="D107" s="54"/>
      <c r="E107" s="54"/>
      <c r="F107" s="54"/>
      <c r="G107" s="54"/>
      <c r="H107" s="54"/>
    </row>
    <row r="108" spans="1:8" ht="14.25">
      <c r="A108" s="54"/>
      <c r="B108" s="54" t="s">
        <v>1345</v>
      </c>
      <c r="C108" s="54"/>
      <c r="D108" s="54"/>
      <c r="E108" s="54"/>
      <c r="F108" s="54"/>
      <c r="G108" s="54"/>
      <c r="H108" s="54"/>
    </row>
    <row r="109" spans="1:8" ht="14.25">
      <c r="A109" s="54"/>
      <c r="B109" s="54" t="s">
        <v>1346</v>
      </c>
      <c r="C109" s="54"/>
      <c r="D109" s="54"/>
      <c r="E109" s="54"/>
      <c r="F109" s="54"/>
      <c r="G109" s="54"/>
      <c r="H109" s="54"/>
    </row>
    <row r="110" spans="1:8" ht="14.25">
      <c r="A110" s="54"/>
      <c r="B110" s="54"/>
      <c r="C110" s="54"/>
      <c r="D110" s="54"/>
      <c r="E110" s="54"/>
      <c r="F110" s="54"/>
      <c r="G110" s="54"/>
      <c r="H110" s="54"/>
    </row>
    <row r="111" spans="1:8" ht="14.25" customHeight="1">
      <c r="A111" s="54"/>
      <c r="B111" s="54"/>
      <c r="C111" s="65" t="s">
        <v>1214</v>
      </c>
      <c r="D111" s="4642" t="s">
        <v>1015</v>
      </c>
      <c r="E111" s="4642"/>
      <c r="F111" s="4642"/>
      <c r="G111" s="4642"/>
      <c r="H111" s="450" t="s">
        <v>1215</v>
      </c>
    </row>
    <row r="112" spans="1:8" ht="14.25">
      <c r="A112" s="54"/>
      <c r="B112" s="54"/>
      <c r="C112" s="54"/>
      <c r="D112" s="54"/>
      <c r="E112" s="54"/>
      <c r="F112" s="54"/>
      <c r="G112" s="54"/>
      <c r="H112" s="70"/>
    </row>
    <row r="113" spans="1:8" ht="15.75">
      <c r="A113" s="54"/>
      <c r="B113" s="53"/>
      <c r="C113" s="54" t="s">
        <v>811</v>
      </c>
      <c r="D113" s="451"/>
      <c r="E113" s="589" t="e">
        <f>FIXED(Protokoll!$B$51,2)</f>
        <v>#VALUE!</v>
      </c>
      <c r="F113" s="588" t="s">
        <v>929</v>
      </c>
      <c r="G113" s="53"/>
      <c r="H113" s="541">
        <v>404000</v>
      </c>
    </row>
    <row r="114" spans="1:8" ht="15.75">
      <c r="A114" s="54"/>
      <c r="B114" s="53"/>
      <c r="C114" s="54" t="s">
        <v>812</v>
      </c>
      <c r="D114" s="451"/>
      <c r="E114" s="589" t="e">
        <f>FIXED(Protokoll!$C$51,2)</f>
        <v>#VALUE!</v>
      </c>
      <c r="F114" s="588" t="s">
        <v>929</v>
      </c>
      <c r="G114" s="53"/>
      <c r="H114" s="541">
        <v>404000</v>
      </c>
    </row>
    <row r="115" spans="1:8" ht="15.75">
      <c r="A115" s="54"/>
      <c r="B115" s="53"/>
      <c r="C115" s="54" t="s">
        <v>813</v>
      </c>
      <c r="D115" s="451"/>
      <c r="E115" s="589" t="e">
        <f>FIXED(Protokoll!$D$51,2)</f>
        <v>#VALUE!</v>
      </c>
      <c r="F115" s="588" t="s">
        <v>929</v>
      </c>
      <c r="G115" s="53"/>
      <c r="H115" s="541">
        <v>404000</v>
      </c>
    </row>
    <row r="116" spans="1:8" ht="15.75">
      <c r="A116" s="54"/>
      <c r="B116" s="53"/>
      <c r="C116" s="54" t="s">
        <v>814</v>
      </c>
      <c r="D116" s="451"/>
      <c r="E116" s="587" t="e">
        <f>FIXED(Protokoll!$E$51,2)</f>
        <v>#VALUE!</v>
      </c>
      <c r="F116" s="588" t="s">
        <v>929</v>
      </c>
      <c r="G116" s="53"/>
      <c r="H116" s="541">
        <v>404000</v>
      </c>
    </row>
    <row r="117" spans="1:8" ht="15.75">
      <c r="A117" s="598"/>
      <c r="B117" s="599"/>
      <c r="C117" s="54" t="s">
        <v>815</v>
      </c>
      <c r="D117" s="451"/>
      <c r="E117" s="587" t="e">
        <f>FIXED(Protokoll!$F$51,2)</f>
        <v>#VALUE!</v>
      </c>
      <c r="F117" s="588" t="s">
        <v>931</v>
      </c>
      <c r="G117" s="53"/>
      <c r="H117" s="541">
        <v>404000</v>
      </c>
    </row>
    <row r="118" spans="1:8" ht="14.25">
      <c r="A118" s="54"/>
      <c r="B118" s="54"/>
      <c r="C118" s="54"/>
      <c r="D118" s="54"/>
      <c r="E118" s="54"/>
      <c r="F118" s="54"/>
      <c r="G118" s="54"/>
      <c r="H118" s="54"/>
    </row>
    <row r="119" spans="1:8" ht="14.25">
      <c r="A119" s="63" t="s">
        <v>1363</v>
      </c>
      <c r="B119" s="54" t="s">
        <v>1364</v>
      </c>
      <c r="C119" s="79"/>
      <c r="D119" s="79"/>
      <c r="E119" s="80"/>
      <c r="F119" s="79"/>
      <c r="G119" s="106"/>
      <c r="H119" s="86"/>
    </row>
    <row r="120" spans="1:8" ht="14.25">
      <c r="A120" s="54"/>
      <c r="B120" s="54" t="s">
        <v>1365</v>
      </c>
      <c r="C120" s="79"/>
      <c r="D120" s="79"/>
      <c r="E120" s="80"/>
      <c r="F120" s="79"/>
      <c r="G120" s="106"/>
      <c r="H120" s="86"/>
    </row>
    <row r="121" spans="1:8" ht="14.25">
      <c r="A121" s="54"/>
      <c r="B121" s="54" t="s">
        <v>1366</v>
      </c>
      <c r="C121" s="79"/>
      <c r="D121" s="79"/>
      <c r="E121" s="80"/>
      <c r="F121" s="79"/>
      <c r="G121" s="106"/>
      <c r="H121" s="86"/>
    </row>
    <row r="122" spans="1:8" ht="14.25">
      <c r="A122" s="54"/>
      <c r="B122" s="54" t="s">
        <v>1367</v>
      </c>
      <c r="C122" s="79"/>
      <c r="D122" s="79"/>
      <c r="E122" s="80"/>
      <c r="F122" s="79"/>
      <c r="G122" s="106"/>
      <c r="H122" s="86"/>
    </row>
    <row r="123" spans="1:8" ht="14.25">
      <c r="A123" s="54"/>
      <c r="B123" s="54" t="s">
        <v>1368</v>
      </c>
      <c r="C123" s="79"/>
      <c r="D123" s="79"/>
      <c r="E123" s="80"/>
      <c r="F123" s="79"/>
      <c r="G123" s="106"/>
      <c r="H123" s="86"/>
    </row>
    <row r="124" spans="1:8" ht="14.25">
      <c r="A124" s="54"/>
      <c r="B124" s="54" t="s">
        <v>1369</v>
      </c>
      <c r="C124" s="79"/>
      <c r="D124" s="79"/>
      <c r="E124" s="80"/>
      <c r="F124" s="79"/>
      <c r="G124" s="595"/>
      <c r="H124" s="599"/>
    </row>
    <row r="125" spans="1:8" ht="14.25">
      <c r="A125" s="54"/>
      <c r="B125" s="54"/>
      <c r="C125" s="79"/>
      <c r="D125" s="79"/>
      <c r="E125" s="80"/>
      <c r="F125" s="79"/>
      <c r="G125" s="595"/>
      <c r="H125" s="599"/>
    </row>
    <row r="126" spans="1:8" ht="15">
      <c r="A126" s="54"/>
      <c r="B126" s="54"/>
      <c r="C126" s="79"/>
      <c r="D126" s="79"/>
      <c r="E126" s="114" t="e">
        <f>FIXED(E115,2)</f>
        <v>#VALUE!</v>
      </c>
      <c r="F126" s="98" t="s">
        <v>929</v>
      </c>
      <c r="G126" s="596" t="s">
        <v>1370</v>
      </c>
      <c r="H126" s="599"/>
    </row>
    <row r="127" spans="1:8" ht="14.25">
      <c r="A127" s="54"/>
      <c r="B127" s="54"/>
      <c r="C127" s="79"/>
      <c r="D127" s="79"/>
      <c r="E127" s="80"/>
      <c r="F127" s="79"/>
      <c r="G127" s="595"/>
      <c r="H127" s="599"/>
    </row>
    <row r="128" spans="1:8" ht="14.25">
      <c r="A128" s="54"/>
      <c r="B128" s="54" t="s">
        <v>1371</v>
      </c>
      <c r="C128" s="79"/>
      <c r="D128" s="79"/>
      <c r="E128" s="80"/>
      <c r="F128" s="79"/>
      <c r="G128" s="106"/>
      <c r="H128" s="86"/>
    </row>
    <row r="129" spans="1:14" ht="14.25">
      <c r="A129" s="54"/>
      <c r="B129" s="54" t="s">
        <v>1372</v>
      </c>
      <c r="C129" s="79"/>
      <c r="D129" s="79"/>
      <c r="E129" s="80"/>
      <c r="F129" s="79"/>
      <c r="G129" s="106"/>
      <c r="H129" s="86"/>
    </row>
    <row r="130" spans="1:14" ht="14.25">
      <c r="A130" s="54"/>
      <c r="B130" s="54"/>
      <c r="C130" s="79"/>
      <c r="D130" s="79"/>
      <c r="E130" s="80"/>
      <c r="F130" s="79"/>
      <c r="G130" s="106"/>
      <c r="H130" s="86"/>
    </row>
    <row r="131" spans="1:14" ht="14.25">
      <c r="A131" s="63" t="s">
        <v>1408</v>
      </c>
      <c r="B131" s="54" t="s">
        <v>2042</v>
      </c>
      <c r="C131" s="79"/>
      <c r="D131" s="79"/>
      <c r="E131" s="80"/>
      <c r="F131" s="79"/>
      <c r="G131" s="106"/>
      <c r="H131" s="86"/>
    </row>
    <row r="132" spans="1:14" ht="14.25">
      <c r="A132" s="54"/>
      <c r="B132" s="54" t="s">
        <v>2035</v>
      </c>
      <c r="C132" s="79"/>
      <c r="D132" s="79"/>
      <c r="E132" s="80"/>
      <c r="F132" s="79"/>
      <c r="G132" s="106"/>
      <c r="H132" s="86"/>
    </row>
    <row r="133" spans="1:14" ht="14.25">
      <c r="A133" s="54"/>
      <c r="B133" s="54" t="s">
        <v>2017</v>
      </c>
      <c r="C133" s="79"/>
      <c r="D133" s="79"/>
      <c r="E133" s="80"/>
      <c r="F133" s="79"/>
      <c r="G133" s="106"/>
      <c r="H133" s="86"/>
    </row>
    <row r="134" spans="1:14" ht="14.25">
      <c r="A134" s="54"/>
      <c r="B134" s="54" t="s">
        <v>2018</v>
      </c>
      <c r="C134" s="79"/>
      <c r="D134" s="79"/>
      <c r="E134" s="80"/>
      <c r="F134" s="79"/>
      <c r="G134" s="106"/>
      <c r="H134" s="86"/>
    </row>
    <row r="135" spans="1:14" ht="14.25">
      <c r="A135" s="54"/>
      <c r="B135" s="54" t="s">
        <v>2036</v>
      </c>
      <c r="C135" s="79"/>
      <c r="D135" s="79"/>
      <c r="E135" s="80"/>
      <c r="F135" s="79"/>
      <c r="G135" s="106"/>
      <c r="H135" s="86"/>
    </row>
    <row r="136" spans="1:14" ht="14.25">
      <c r="A136" s="54"/>
      <c r="B136" s="54" t="s">
        <v>2037</v>
      </c>
      <c r="C136" s="79"/>
      <c r="D136" s="79"/>
      <c r="E136" s="80"/>
      <c r="F136" s="79"/>
      <c r="G136" s="106"/>
      <c r="H136" s="86"/>
    </row>
    <row r="137" spans="1:14" ht="14.25">
      <c r="A137" s="54"/>
      <c r="B137" s="54"/>
      <c r="C137" s="79"/>
      <c r="D137" s="79"/>
      <c r="E137" s="80"/>
      <c r="F137" s="79"/>
      <c r="G137" s="106"/>
      <c r="H137" s="86"/>
    </row>
    <row r="138" spans="1:14" ht="14.25">
      <c r="A138" s="63" t="s">
        <v>1429</v>
      </c>
      <c r="B138" s="54" t="s">
        <v>2038</v>
      </c>
      <c r="C138" s="65"/>
      <c r="D138" s="79"/>
      <c r="E138" s="80"/>
      <c r="F138" s="79"/>
      <c r="G138" s="28"/>
      <c r="H138" s="86"/>
    </row>
    <row r="139" spans="1:14" ht="14.25">
      <c r="A139" s="54"/>
      <c r="B139" s="54" t="s">
        <v>2039</v>
      </c>
      <c r="C139" s="65"/>
      <c r="D139" s="79"/>
      <c r="E139" s="80"/>
      <c r="F139" s="79"/>
      <c r="G139" s="28"/>
      <c r="H139" s="86"/>
    </row>
    <row r="140" spans="1:14" ht="14.25">
      <c r="A140" s="54"/>
      <c r="B140" s="54" t="s">
        <v>2040</v>
      </c>
      <c r="C140" s="65"/>
      <c r="D140" s="79"/>
      <c r="E140" s="80"/>
      <c r="F140" s="79"/>
      <c r="G140" s="28"/>
      <c r="H140" s="86"/>
    </row>
    <row r="141" spans="1:14" ht="14.25">
      <c r="A141" s="54"/>
      <c r="B141" s="54"/>
      <c r="C141" s="79"/>
      <c r="D141" s="79"/>
      <c r="E141" s="80"/>
      <c r="F141" s="79"/>
      <c r="G141" s="28"/>
      <c r="H141" s="86"/>
    </row>
    <row r="142" spans="1:14" s="55" customFormat="1" ht="15">
      <c r="A142" s="54"/>
      <c r="B142" s="54"/>
      <c r="C142" s="65"/>
      <c r="D142" s="65"/>
      <c r="E142" s="3248" t="e">
        <f>Ergebnis!H28</f>
        <v>#VALUE!</v>
      </c>
      <c r="F142" s="3249" t="s">
        <v>929</v>
      </c>
      <c r="G142" s="3250" t="s">
        <v>2032</v>
      </c>
      <c r="H142" s="3251" t="str">
        <f>(Ergebnis!E28)&amp;" VK Auszubildende(n)"</f>
        <v>0 VK Auszubildende(n)</v>
      </c>
      <c r="N142" s="3252"/>
    </row>
    <row r="143" spans="1:14" ht="14.25">
      <c r="A143" s="54"/>
      <c r="B143" s="54"/>
      <c r="C143" s="79"/>
      <c r="D143" s="79"/>
      <c r="E143" s="80"/>
      <c r="F143" s="79"/>
      <c r="G143" s="28"/>
      <c r="H143" s="86"/>
    </row>
    <row r="144" spans="1:14" ht="14.25">
      <c r="A144" s="54"/>
      <c r="B144" s="54" t="s">
        <v>2029</v>
      </c>
      <c r="C144" s="79"/>
      <c r="D144" s="79"/>
      <c r="E144" s="80"/>
      <c r="F144" s="79"/>
      <c r="G144" s="28"/>
      <c r="H144" s="86"/>
    </row>
    <row r="145" spans="1:8" ht="14.25">
      <c r="A145" s="54"/>
      <c r="B145" s="54" t="s">
        <v>2030</v>
      </c>
      <c r="C145" s="79"/>
      <c r="D145" s="79"/>
      <c r="E145" s="80"/>
      <c r="F145" s="79"/>
      <c r="G145" s="28"/>
      <c r="H145" s="86"/>
    </row>
    <row r="146" spans="1:8" ht="14.25">
      <c r="A146" s="54"/>
      <c r="B146" s="54" t="s">
        <v>2031</v>
      </c>
      <c r="C146" s="79"/>
      <c r="D146" s="79"/>
      <c r="E146" s="80"/>
      <c r="F146" s="79"/>
      <c r="G146" s="28"/>
      <c r="H146" s="86"/>
    </row>
    <row r="147" spans="1:8" ht="14.25">
      <c r="A147" s="54"/>
      <c r="B147" s="54"/>
      <c r="C147" s="79"/>
      <c r="D147" s="79"/>
      <c r="E147" s="80"/>
      <c r="F147" s="79"/>
      <c r="G147" s="106"/>
      <c r="H147" s="86"/>
    </row>
    <row r="148" spans="1:8" ht="14.25">
      <c r="A148" s="54"/>
      <c r="B148" s="54"/>
      <c r="C148" s="79"/>
      <c r="D148" s="79"/>
      <c r="E148" s="80"/>
      <c r="F148" s="79"/>
      <c r="G148" s="106"/>
      <c r="H148" s="86"/>
    </row>
    <row r="149" spans="1:8" ht="14.25">
      <c r="A149" s="63"/>
      <c r="B149" s="54"/>
      <c r="C149" s="79"/>
      <c r="D149" s="79"/>
      <c r="E149" s="80"/>
      <c r="F149" s="79"/>
      <c r="G149" s="106"/>
      <c r="H149" s="86"/>
    </row>
    <row r="150" spans="1:8" ht="14.25">
      <c r="A150" s="54"/>
      <c r="B150" s="54"/>
      <c r="C150" s="79"/>
      <c r="D150" s="79"/>
      <c r="E150" s="80"/>
      <c r="F150" s="79"/>
      <c r="G150" s="106"/>
      <c r="H150" s="86"/>
    </row>
    <row r="151" spans="1:8" ht="14.25">
      <c r="A151" s="54"/>
      <c r="B151" s="54"/>
      <c r="C151" s="79"/>
      <c r="D151" s="79"/>
      <c r="E151" s="80"/>
      <c r="F151" s="79"/>
      <c r="G151" s="106"/>
      <c r="H151" s="86"/>
    </row>
    <row r="152" spans="1:8" ht="14.25">
      <c r="A152" s="54"/>
      <c r="B152" s="54"/>
      <c r="C152" s="79"/>
      <c r="D152" s="79"/>
      <c r="E152" s="80"/>
      <c r="F152" s="79"/>
      <c r="G152" s="106"/>
      <c r="H152" s="86"/>
    </row>
    <row r="153" spans="1:8" ht="14.25">
      <c r="A153" s="54"/>
      <c r="B153" s="54"/>
      <c r="C153" s="79"/>
      <c r="D153" s="79"/>
      <c r="E153" s="80"/>
      <c r="F153" s="79"/>
      <c r="G153" s="106"/>
      <c r="H153" s="86"/>
    </row>
    <row r="154" spans="1:8" ht="14.25">
      <c r="A154" s="54"/>
      <c r="B154" s="54"/>
      <c r="C154" s="79"/>
      <c r="D154" s="79"/>
      <c r="E154" s="80"/>
      <c r="F154" s="79"/>
      <c r="G154" s="106"/>
      <c r="H154" s="86"/>
    </row>
    <row r="155" spans="1:8" ht="14.25">
      <c r="A155" s="54"/>
      <c r="B155" s="54"/>
      <c r="C155" s="79"/>
      <c r="D155" s="79"/>
      <c r="E155" s="80"/>
      <c r="F155" s="79"/>
      <c r="G155" s="106"/>
      <c r="H155" s="86"/>
    </row>
    <row r="156" spans="1:8" ht="14.25">
      <c r="A156" s="54"/>
      <c r="B156" s="54"/>
      <c r="C156" s="79"/>
      <c r="D156" s="79"/>
      <c r="E156" s="80"/>
      <c r="F156" s="79"/>
      <c r="G156" s="106"/>
      <c r="H156" s="86"/>
    </row>
    <row r="157" spans="1:8" ht="14.25">
      <c r="A157" s="54"/>
      <c r="B157" s="54"/>
      <c r="C157" s="79"/>
      <c r="D157" s="79"/>
      <c r="E157" s="80"/>
      <c r="F157" s="79"/>
      <c r="G157" s="106"/>
      <c r="H157" s="86"/>
    </row>
    <row r="158" spans="1:8" ht="14.25">
      <c r="A158" s="4645" t="s">
        <v>993</v>
      </c>
      <c r="B158" s="4645"/>
      <c r="C158" s="4645"/>
      <c r="D158" s="4645"/>
      <c r="E158" s="4645"/>
      <c r="F158" s="4645"/>
      <c r="G158" s="4645"/>
      <c r="H158" s="4645"/>
    </row>
    <row r="159" spans="1:8" ht="14.25">
      <c r="A159" s="54"/>
      <c r="B159" s="54"/>
      <c r="C159" s="54"/>
      <c r="D159" s="54"/>
      <c r="E159" s="54"/>
      <c r="F159" s="54"/>
      <c r="G159" s="54"/>
      <c r="H159" s="54"/>
    </row>
    <row r="160" spans="1:8" ht="14.25">
      <c r="A160" s="63" t="s">
        <v>112</v>
      </c>
      <c r="B160" s="54" t="s">
        <v>1347</v>
      </c>
      <c r="C160" s="79"/>
      <c r="D160" s="79"/>
      <c r="E160" s="80"/>
      <c r="F160" s="79"/>
      <c r="G160" s="28"/>
      <c r="H160" s="87"/>
    </row>
    <row r="161" spans="1:8" ht="14.25">
      <c r="A161" s="63"/>
      <c r="B161" s="54"/>
      <c r="C161" s="79"/>
      <c r="D161" s="79"/>
      <c r="E161" s="80"/>
      <c r="F161" s="79"/>
      <c r="G161" s="28"/>
      <c r="H161" s="87"/>
    </row>
    <row r="162" spans="1:8" ht="14.25">
      <c r="A162" s="63"/>
      <c r="B162" s="54"/>
      <c r="C162" s="79"/>
      <c r="D162" s="79"/>
      <c r="E162" s="600" t="s">
        <v>1015</v>
      </c>
      <c r="F162" s="79"/>
      <c r="G162" s="28"/>
      <c r="H162" s="129"/>
    </row>
    <row r="163" spans="1:8" ht="7.5" customHeight="1">
      <c r="A163" s="54"/>
      <c r="B163" s="53"/>
      <c r="C163" s="54"/>
      <c r="D163" s="54"/>
      <c r="E163" s="53"/>
      <c r="F163" s="54"/>
      <c r="G163" s="9"/>
      <c r="H163" s="54"/>
    </row>
    <row r="164" spans="1:8" ht="15">
      <c r="A164" s="54"/>
      <c r="B164" s="53"/>
      <c r="C164" s="54" t="s">
        <v>238</v>
      </c>
      <c r="D164" s="82"/>
      <c r="E164" s="587" t="e">
        <f>FIXED(Protokoll!$B$52,2)</f>
        <v>#VALUE!</v>
      </c>
      <c r="F164" s="588" t="s">
        <v>929</v>
      </c>
      <c r="G164" s="113"/>
      <c r="H164" s="126"/>
    </row>
    <row r="165" spans="1:8" ht="15">
      <c r="A165" s="54"/>
      <c r="B165" s="82"/>
      <c r="C165" s="54" t="s">
        <v>239</v>
      </c>
      <c r="D165" s="82"/>
      <c r="E165" s="589" t="e">
        <f>FIXED(Protokoll!$B$53,2)</f>
        <v>#VALUE!</v>
      </c>
      <c r="F165" s="588" t="s">
        <v>931</v>
      </c>
      <c r="G165" s="115"/>
      <c r="H165" s="125"/>
    </row>
    <row r="166" spans="1:8" ht="14.25">
      <c r="A166" s="598"/>
      <c r="B166" s="599"/>
      <c r="C166" s="54"/>
      <c r="D166" s="54"/>
      <c r="E166" s="53"/>
      <c r="F166" s="54"/>
      <c r="G166" s="9"/>
      <c r="H166" s="54"/>
    </row>
    <row r="167" spans="1:8" ht="14.25">
      <c r="A167" s="54"/>
      <c r="B167" s="82" t="s">
        <v>313</v>
      </c>
      <c r="C167" s="54"/>
      <c r="D167" s="54"/>
      <c r="E167" s="53"/>
      <c r="F167" s="54"/>
      <c r="G167" s="9"/>
      <c r="H167" s="54"/>
    </row>
    <row r="168" spans="1:8" ht="14.25">
      <c r="A168" s="54"/>
      <c r="B168" s="82" t="s">
        <v>314</v>
      </c>
      <c r="C168" s="54"/>
      <c r="D168" s="54"/>
      <c r="E168" s="53"/>
      <c r="F168" s="54"/>
      <c r="G168" s="9"/>
      <c r="H168" s="54"/>
    </row>
    <row r="169" spans="1:8" ht="14.25">
      <c r="A169" s="54"/>
      <c r="B169" s="82" t="s">
        <v>315</v>
      </c>
      <c r="C169" s="54"/>
      <c r="D169" s="54"/>
      <c r="E169" s="53"/>
      <c r="F169" s="54"/>
      <c r="G169" s="9"/>
      <c r="H169" s="54"/>
    </row>
    <row r="170" spans="1:8" ht="14.25">
      <c r="A170" s="54"/>
      <c r="B170" s="82" t="s">
        <v>316</v>
      </c>
      <c r="C170" s="599"/>
      <c r="D170" s="599"/>
      <c r="E170" s="599"/>
      <c r="F170" s="599"/>
      <c r="G170" s="599"/>
      <c r="H170" s="599"/>
    </row>
    <row r="171" spans="1:8" ht="14.25">
      <c r="A171" s="54"/>
      <c r="B171" s="82"/>
      <c r="C171" s="599"/>
      <c r="D171" s="599"/>
      <c r="E171" s="599"/>
      <c r="F171" s="599"/>
      <c r="G171" s="599"/>
      <c r="H171" s="599"/>
    </row>
    <row r="172" spans="1:8" ht="14.25">
      <c r="A172" s="63" t="s">
        <v>113</v>
      </c>
      <c r="B172" s="82" t="s">
        <v>1410</v>
      </c>
      <c r="C172" s="599"/>
      <c r="D172" s="599"/>
      <c r="E172" s="599"/>
      <c r="F172" s="599"/>
      <c r="G172" s="599"/>
      <c r="H172" s="599"/>
    </row>
    <row r="173" spans="1:8" ht="14.25">
      <c r="A173" s="54"/>
      <c r="B173" s="82" t="s">
        <v>1348</v>
      </c>
      <c r="C173" s="599"/>
      <c r="D173" s="599"/>
      <c r="E173" s="599"/>
      <c r="F173" s="599"/>
      <c r="G173" s="599"/>
      <c r="H173" s="599"/>
    </row>
    <row r="174" spans="1:8" ht="14.25">
      <c r="A174" s="63"/>
      <c r="B174" s="54"/>
      <c r="C174" s="79"/>
      <c r="D174" s="79"/>
      <c r="E174" s="80"/>
      <c r="F174" s="79"/>
      <c r="G174" s="28"/>
      <c r="H174" s="87"/>
    </row>
    <row r="175" spans="1:8" ht="14.25">
      <c r="A175" s="63" t="s">
        <v>279</v>
      </c>
      <c r="B175" s="54" t="s">
        <v>2144</v>
      </c>
      <c r="C175" s="79"/>
      <c r="D175" s="79"/>
      <c r="E175" s="80"/>
      <c r="F175" s="79"/>
      <c r="G175" s="28"/>
      <c r="H175" s="87"/>
    </row>
    <row r="176" spans="1:8" ht="14.25">
      <c r="A176" s="63"/>
      <c r="B176" s="54" t="s">
        <v>2145</v>
      </c>
      <c r="C176" s="79"/>
      <c r="D176" s="79"/>
      <c r="E176" s="80"/>
      <c r="F176" s="79"/>
      <c r="G176" s="28"/>
      <c r="H176" s="87"/>
    </row>
    <row r="177" spans="1:8" ht="14.25">
      <c r="A177" s="63"/>
      <c r="B177" s="54" t="s">
        <v>2146</v>
      </c>
      <c r="C177" s="79"/>
      <c r="D177" s="79"/>
      <c r="E177" s="80"/>
      <c r="F177" s="79"/>
      <c r="G177" s="28"/>
      <c r="H177" s="87"/>
    </row>
    <row r="178" spans="1:8" ht="14.25">
      <c r="A178" s="63"/>
      <c r="B178" s="54" t="s">
        <v>2148</v>
      </c>
      <c r="C178" s="79"/>
      <c r="D178" s="79"/>
      <c r="E178" s="80"/>
      <c r="F178" s="79"/>
      <c r="G178" s="28"/>
      <c r="H178" s="87"/>
    </row>
    <row r="179" spans="1:8" ht="14.25">
      <c r="A179" s="63"/>
      <c r="B179" s="54" t="s">
        <v>2147</v>
      </c>
      <c r="C179" s="79"/>
      <c r="D179" s="79"/>
      <c r="E179" s="80"/>
      <c r="F179" s="79"/>
      <c r="G179" s="28"/>
      <c r="H179" s="87"/>
    </row>
    <row r="180" spans="1:8" ht="14.25">
      <c r="A180" s="63"/>
      <c r="B180" s="54"/>
      <c r="C180" s="79"/>
      <c r="D180" s="79"/>
      <c r="E180" s="80"/>
      <c r="F180" s="79"/>
      <c r="G180" s="28"/>
      <c r="H180" s="87"/>
    </row>
    <row r="181" spans="1:8" ht="14.25">
      <c r="A181" s="63"/>
      <c r="B181" s="54" t="s">
        <v>2130</v>
      </c>
      <c r="C181" s="79"/>
      <c r="D181" s="79"/>
      <c r="E181" s="80"/>
      <c r="F181" s="79"/>
      <c r="G181" s="28"/>
      <c r="H181" s="87"/>
    </row>
    <row r="182" spans="1:8" ht="14.25">
      <c r="A182" s="63"/>
      <c r="B182" s="54" t="s">
        <v>2131</v>
      </c>
      <c r="C182" s="79"/>
      <c r="D182" s="79"/>
      <c r="E182" s="80"/>
      <c r="F182" s="79"/>
      <c r="G182" s="28"/>
      <c r="H182" s="87"/>
    </row>
    <row r="183" spans="1:8" ht="14.25">
      <c r="A183" s="63"/>
      <c r="B183" s="54"/>
      <c r="C183" s="79"/>
      <c r="D183" s="79"/>
      <c r="E183" s="80"/>
      <c r="F183" s="79"/>
      <c r="G183" s="28"/>
      <c r="H183" s="87"/>
    </row>
    <row r="184" spans="1:8" ht="14.25">
      <c r="A184" s="63"/>
      <c r="B184" s="54"/>
      <c r="C184" s="79"/>
      <c r="D184" s="79"/>
      <c r="E184" s="80"/>
      <c r="F184" s="79"/>
      <c r="G184" s="28"/>
      <c r="H184" s="87"/>
    </row>
    <row r="185" spans="1:8" s="107" customFormat="1"/>
    <row r="186" spans="1:8" ht="15">
      <c r="A186" s="4641" t="s">
        <v>990</v>
      </c>
      <c r="B186" s="4641"/>
      <c r="C186" s="4641"/>
      <c r="D186" s="4641"/>
      <c r="E186" s="4641"/>
      <c r="F186" s="4641"/>
      <c r="G186" s="4641"/>
      <c r="H186" s="4641"/>
    </row>
    <row r="187" spans="1:8" ht="14.25">
      <c r="A187" s="63"/>
      <c r="B187" s="54"/>
      <c r="C187" s="79"/>
      <c r="D187" s="79"/>
      <c r="E187" s="80"/>
      <c r="F187" s="79"/>
      <c r="G187" s="28"/>
      <c r="H187" s="87"/>
    </row>
    <row r="188" spans="1:8" ht="14.25">
      <c r="A188" s="586" t="str">
        <f>"Diese Vergütungsvereinbarung tritt am "&amp;TEXT(Protokoll!B48,"TT.MM.JJJJ")&amp;" in Kraft und gilt bis zum "&amp;TEXT(Protokoll!D48,"TT.MM.JJJJ")&amp;"."</f>
        <v>Diese Vergütungsvereinbarung tritt am 01.03.2025 in Kraft und gilt bis zum 28.02.2026.</v>
      </c>
      <c r="B188" s="53"/>
      <c r="C188" s="54"/>
      <c r="D188" s="54"/>
      <c r="E188" s="54"/>
      <c r="F188" s="54"/>
      <c r="G188" s="54"/>
      <c r="H188" s="54"/>
    </row>
    <row r="189" spans="1:8" ht="14.25">
      <c r="A189" s="63"/>
      <c r="B189" s="54"/>
      <c r="C189" s="79"/>
      <c r="D189" s="79"/>
      <c r="E189" s="80"/>
      <c r="F189" s="79"/>
      <c r="G189" s="28"/>
      <c r="H189" s="87"/>
    </row>
    <row r="190" spans="1:8" ht="14.25">
      <c r="A190" s="63" t="s">
        <v>1409</v>
      </c>
      <c r="B190" s="54"/>
      <c r="C190" s="79"/>
      <c r="D190" s="79"/>
      <c r="E190" s="80"/>
      <c r="F190" s="79"/>
      <c r="G190" s="28"/>
      <c r="H190" s="87"/>
    </row>
    <row r="191" spans="1:8" ht="14.25">
      <c r="A191" s="63" t="s">
        <v>1349</v>
      </c>
      <c r="B191" s="54"/>
      <c r="C191" s="79"/>
      <c r="D191" s="79"/>
      <c r="E191" s="80"/>
      <c r="F191" s="79"/>
      <c r="G191" s="28"/>
      <c r="H191" s="87"/>
    </row>
    <row r="192" spans="1:8" ht="14.25">
      <c r="A192" s="63" t="s">
        <v>1394</v>
      </c>
      <c r="B192" s="54"/>
      <c r="C192" s="79"/>
      <c r="D192" s="79"/>
      <c r="E192" s="80"/>
      <c r="F192" s="79"/>
      <c r="G192" s="28"/>
      <c r="H192" s="87"/>
    </row>
    <row r="193" spans="1:8" ht="14.25">
      <c r="A193" s="63" t="s">
        <v>1395</v>
      </c>
      <c r="B193" s="54"/>
      <c r="C193" s="79"/>
      <c r="D193" s="79"/>
      <c r="E193" s="80"/>
      <c r="F193" s="79"/>
      <c r="G193" s="28"/>
      <c r="H193" s="87"/>
    </row>
    <row r="194" spans="1:8" ht="14.25">
      <c r="A194" s="54" t="s">
        <v>1396</v>
      </c>
      <c r="B194" s="54"/>
      <c r="C194" s="79"/>
      <c r="D194" s="79"/>
      <c r="E194" s="80"/>
      <c r="F194" s="79"/>
      <c r="G194" s="28"/>
      <c r="H194" s="87"/>
    </row>
    <row r="195" spans="1:8" ht="14.25">
      <c r="A195" s="63"/>
      <c r="B195" s="54"/>
      <c r="C195" s="79"/>
      <c r="D195" s="79"/>
      <c r="E195" s="80"/>
      <c r="F195" s="79"/>
      <c r="G195" s="28"/>
      <c r="H195" s="87"/>
    </row>
    <row r="196" spans="1:8" ht="14.25">
      <c r="A196" s="63" t="s">
        <v>1397</v>
      </c>
      <c r="B196" s="54"/>
      <c r="C196" s="79"/>
      <c r="D196" s="79"/>
      <c r="E196" s="80"/>
      <c r="F196" s="79"/>
      <c r="G196" s="28"/>
      <c r="H196" s="87"/>
    </row>
    <row r="197" spans="1:8" ht="14.25">
      <c r="A197" s="63"/>
      <c r="B197" s="54"/>
      <c r="C197" s="79"/>
      <c r="D197" s="79"/>
      <c r="E197" s="80"/>
      <c r="F197" s="79"/>
      <c r="G197" s="28"/>
      <c r="H197" s="87"/>
    </row>
    <row r="198" spans="1:8" ht="14.25">
      <c r="A198" s="63" t="s">
        <v>1350</v>
      </c>
      <c r="B198" s="54"/>
      <c r="C198" s="79"/>
      <c r="D198" s="79"/>
      <c r="E198" s="80"/>
      <c r="F198" s="79"/>
      <c r="G198" s="28"/>
      <c r="H198" s="87"/>
    </row>
    <row r="199" spans="1:8" ht="14.25">
      <c r="A199" s="63" t="s">
        <v>1398</v>
      </c>
      <c r="B199" s="54"/>
      <c r="C199" s="79"/>
      <c r="D199" s="79"/>
      <c r="E199" s="80"/>
      <c r="F199" s="79"/>
      <c r="G199" s="28"/>
      <c r="H199" s="87"/>
    </row>
    <row r="200" spans="1:8" ht="14.25">
      <c r="A200" s="63"/>
      <c r="B200" s="54"/>
      <c r="C200" s="79"/>
      <c r="D200" s="79"/>
      <c r="E200" s="80"/>
      <c r="F200" s="79"/>
      <c r="G200" s="28"/>
      <c r="H200" s="87"/>
    </row>
    <row r="201" spans="1:8" ht="14.25">
      <c r="A201" s="90" t="e">
        <f ca="1">IF(Ort_Träger=VLOOKUP(Ort,Datenbereich,6,FALSE),"",Ort_Träger&amp;", ")&amp;VLOOKUP(Ort,Datenbereich,6,FALSE)&amp;", "&amp;IF(Ort_Träger="Münster","",IF(Ort_Träger="Köln","",VLOOKUP(Ort,Datenbereich,7,FALSE)&amp;", "))&amp;TEXT(TODAY(),"TT.MM.JJJJ")</f>
        <v>#N/A</v>
      </c>
      <c r="B201" s="69"/>
      <c r="C201" s="54"/>
      <c r="D201" s="54"/>
      <c r="E201" s="54"/>
      <c r="F201" s="54"/>
      <c r="G201" s="54"/>
      <c r="H201" s="54"/>
    </row>
    <row r="202" spans="1:8" ht="14.25">
      <c r="A202" s="91"/>
      <c r="B202" s="67"/>
      <c r="C202" s="54"/>
      <c r="D202" s="54"/>
      <c r="E202" s="54"/>
      <c r="F202" s="54"/>
      <c r="G202" s="54"/>
      <c r="H202" s="54"/>
    </row>
    <row r="203" spans="1:8" ht="14.25">
      <c r="A203" s="53"/>
      <c r="B203" s="53"/>
      <c r="C203" s="54"/>
      <c r="D203" s="54"/>
      <c r="E203" s="54"/>
      <c r="F203" s="54"/>
      <c r="G203" s="54"/>
      <c r="H203" s="54"/>
    </row>
    <row r="204" spans="1:8" ht="14.25">
      <c r="A204" s="93"/>
      <c r="B204" s="93"/>
      <c r="C204" s="54"/>
      <c r="D204" s="54"/>
      <c r="E204" s="54"/>
      <c r="F204" s="54"/>
      <c r="G204" s="54"/>
      <c r="H204" s="54"/>
    </row>
    <row r="205" spans="1:8" ht="14.25">
      <c r="A205" s="93"/>
      <c r="B205" s="93"/>
      <c r="C205" s="53"/>
      <c r="D205" s="53"/>
      <c r="E205" s="53"/>
      <c r="F205" s="53"/>
      <c r="G205" s="53"/>
      <c r="H205" s="53"/>
    </row>
    <row r="206" spans="1:8" ht="14.25">
      <c r="A206" s="93"/>
      <c r="B206" s="93"/>
      <c r="C206" s="53"/>
      <c r="D206" s="53"/>
      <c r="E206" s="53"/>
      <c r="F206" s="53"/>
      <c r="G206" s="53"/>
      <c r="H206" s="53"/>
    </row>
    <row r="207" spans="1:8" ht="14.25">
      <c r="A207" s="93"/>
      <c r="B207" s="93"/>
      <c r="C207" s="53"/>
      <c r="D207" s="53"/>
      <c r="E207" s="53"/>
      <c r="F207" s="53"/>
      <c r="G207" s="53"/>
      <c r="H207" s="53"/>
    </row>
    <row r="208" spans="1:8" ht="14.25">
      <c r="A208" s="93"/>
      <c r="B208" s="93"/>
      <c r="C208" s="53"/>
      <c r="D208" s="53"/>
      <c r="E208" s="53"/>
      <c r="F208" s="53"/>
      <c r="G208" s="53"/>
      <c r="H208" s="53"/>
    </row>
    <row r="209" spans="1:8" ht="15" thickBot="1">
      <c r="A209" s="92"/>
      <c r="B209" s="92"/>
      <c r="C209" s="92"/>
      <c r="D209" s="92"/>
      <c r="E209" s="92"/>
      <c r="F209" s="54"/>
      <c r="G209" s="92"/>
      <c r="H209" s="92"/>
    </row>
    <row r="210" spans="1:8" ht="14.25">
      <c r="A210" s="4617" t="str">
        <f>CONCATENATE(Träger," ",Träger2)</f>
        <v xml:space="preserve"> </v>
      </c>
      <c r="B210" s="4617"/>
      <c r="C210" s="4617"/>
      <c r="D210" s="4617"/>
      <c r="E210" s="4617"/>
      <c r="F210" s="93"/>
      <c r="G210" s="4619" t="s">
        <v>355</v>
      </c>
      <c r="H210" s="4619"/>
    </row>
    <row r="211" spans="1:8" ht="14.25">
      <c r="A211" s="4618"/>
      <c r="B211" s="4618"/>
      <c r="C211" s="4618"/>
      <c r="D211" s="4618"/>
      <c r="E211" s="4618"/>
      <c r="F211" s="93"/>
      <c r="G211" s="4620" t="str">
        <f>"in Nordrhein-Westfalen, vertreten durch"</f>
        <v>in Nordrhein-Westfalen, vertreten durch</v>
      </c>
      <c r="H211" s="4620"/>
    </row>
    <row r="212" spans="1:8" ht="14.25">
      <c r="A212" s="4618"/>
      <c r="B212" s="4618"/>
      <c r="C212" s="4618"/>
      <c r="D212" s="4618"/>
      <c r="E212" s="4618"/>
      <c r="F212" s="93"/>
      <c r="G212"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212" s="4620"/>
    </row>
    <row r="213" spans="1:8" ht="13.5">
      <c r="A213" s="53"/>
      <c r="B213" s="53"/>
      <c r="C213" s="53"/>
      <c r="D213" s="53"/>
      <c r="E213" s="53"/>
      <c r="F213" s="53"/>
      <c r="G213" s="4601" t="str">
        <f>IF('Copy &amp; Paste'!I1="BEK","der Pflegekasse der BARMER",IF('Copy &amp; Paste'!I1="BEK Schade","der Pflegekasse der BARMER",IF('Copy &amp; Paste'!I1="DAK"," der DAK-Gesundheit-PFLEGEKASSE",IF('Copy &amp; Paste'!I1="vdek","",IF(Ergebnis!C3="AOK WL","- die Gesundheitskasse.",IF(Ergebnis!C3="AOK NO","- die Gesundheitskasse.",""))))))</f>
        <v/>
      </c>
      <c r="H213" s="4601"/>
    </row>
    <row r="214" spans="1:8">
      <c r="A214" s="53"/>
      <c r="B214" s="53"/>
      <c r="C214" s="53"/>
      <c r="D214" s="53"/>
      <c r="E214" s="53"/>
      <c r="F214" s="53"/>
      <c r="G214" s="53"/>
      <c r="H214" s="53"/>
    </row>
    <row r="215" spans="1:8">
      <c r="A215" s="53"/>
      <c r="B215" s="53"/>
      <c r="C215" s="53"/>
      <c r="D215" s="53"/>
      <c r="E215" s="53"/>
      <c r="F215" s="53"/>
      <c r="G215" s="53"/>
      <c r="H215" s="53"/>
    </row>
    <row r="216" spans="1:8">
      <c r="A216" s="53"/>
      <c r="B216" s="53"/>
      <c r="C216" s="53"/>
      <c r="D216" s="53"/>
      <c r="E216" s="53"/>
      <c r="F216" s="53"/>
      <c r="G216" s="53"/>
      <c r="H216" s="53"/>
    </row>
    <row r="217" spans="1:8">
      <c r="A217" s="53"/>
      <c r="B217" s="53"/>
      <c r="C217" s="53"/>
      <c r="D217" s="53"/>
      <c r="E217" s="53"/>
      <c r="F217" s="53"/>
      <c r="G217" s="53"/>
      <c r="H217" s="53"/>
    </row>
    <row r="218" spans="1:8">
      <c r="A218" s="53"/>
      <c r="B218" s="53"/>
      <c r="C218" s="53"/>
      <c r="D218" s="53"/>
      <c r="E218" s="53"/>
      <c r="F218" s="53"/>
      <c r="G218" s="53"/>
      <c r="H218" s="53"/>
    </row>
    <row r="219" spans="1:8">
      <c r="A219" s="53"/>
      <c r="B219" s="53"/>
      <c r="C219" s="53"/>
      <c r="D219" s="53"/>
      <c r="E219" s="53"/>
      <c r="F219" s="53"/>
      <c r="G219" s="53"/>
      <c r="H219" s="53"/>
    </row>
    <row r="220" spans="1:8" ht="13.5" thickBot="1">
      <c r="A220" s="53"/>
      <c r="B220" s="53"/>
      <c r="C220" s="53"/>
      <c r="D220" s="53"/>
      <c r="E220" s="53"/>
      <c r="F220" s="53"/>
      <c r="G220" s="120" t="s">
        <v>351</v>
      </c>
      <c r="H220" s="120"/>
    </row>
    <row r="221" spans="1:8" ht="13.5">
      <c r="A221" s="53"/>
      <c r="B221" s="53"/>
      <c r="C221" s="53"/>
      <c r="D221" s="53"/>
      <c r="E221" s="53"/>
      <c r="F221" s="53"/>
      <c r="G221" s="4639" t="str">
        <f>IF(Ergebnis!$C$2="Westfalen-Lippe","Der Direktor des Landschaftsverbandes","Die Direktorin des Landschaftsverbandes")</f>
        <v>Die Direktorin des Landschaftsverbandes</v>
      </c>
      <c r="H221" s="4639"/>
    </row>
    <row r="222" spans="1:8" ht="13.5">
      <c r="A222" s="53"/>
      <c r="B222" s="53"/>
      <c r="C222" s="53"/>
      <c r="D222" s="53"/>
      <c r="E222" s="53"/>
      <c r="F222" s="53"/>
      <c r="G222" s="4640" t="str">
        <f>IF(Ergebnis!$C$2="Westfalen-Lippe","Westfalen-Lippe","Rheinland")</f>
        <v>Rheinland</v>
      </c>
      <c r="H222" s="4640"/>
    </row>
    <row r="223" spans="1:8" ht="14.25">
      <c r="A223" s="63"/>
      <c r="B223" s="54"/>
      <c r="C223" s="79"/>
      <c r="D223" s="79"/>
      <c r="E223" s="80"/>
      <c r="F223" s="79"/>
      <c r="G223" s="28"/>
      <c r="H223" s="87"/>
    </row>
    <row r="224" spans="1:8" ht="14.25">
      <c r="A224" s="63"/>
      <c r="B224" s="54"/>
      <c r="C224" s="79"/>
      <c r="D224" s="79"/>
      <c r="E224" s="80"/>
      <c r="F224" s="79"/>
      <c r="G224" s="28"/>
      <c r="H224" s="87"/>
    </row>
    <row r="225" spans="1:8" ht="14.25">
      <c r="A225" s="63"/>
      <c r="B225" s="54"/>
      <c r="C225" s="79"/>
      <c r="D225" s="79"/>
      <c r="E225" s="80"/>
      <c r="F225" s="79"/>
      <c r="G225" s="28"/>
      <c r="H225" s="87"/>
    </row>
    <row r="226" spans="1:8" ht="14.25">
      <c r="A226" s="63"/>
      <c r="B226" s="54"/>
      <c r="C226" s="79"/>
      <c r="D226" s="79"/>
      <c r="E226" s="80"/>
      <c r="F226" s="79"/>
      <c r="G226" s="28"/>
      <c r="H226" s="87"/>
    </row>
    <row r="227" spans="1:8" ht="14.25">
      <c r="A227" s="63"/>
      <c r="B227" s="54"/>
      <c r="C227" s="79"/>
      <c r="D227" s="79"/>
      <c r="E227" s="80"/>
      <c r="F227" s="79"/>
      <c r="G227" s="28"/>
      <c r="H227" s="87"/>
    </row>
    <row r="228" spans="1:8" ht="14.25">
      <c r="A228" s="63"/>
      <c r="B228" s="54"/>
      <c r="C228" s="79"/>
      <c r="D228" s="79"/>
      <c r="E228" s="80"/>
      <c r="F228" s="79"/>
      <c r="G228" s="28"/>
      <c r="H228" s="87"/>
    </row>
    <row r="229" spans="1:8" ht="14.25">
      <c r="A229" s="63"/>
      <c r="B229" s="54"/>
      <c r="C229" s="79"/>
      <c r="D229" s="79"/>
      <c r="E229" s="80"/>
      <c r="F229" s="79"/>
      <c r="G229" s="28"/>
      <c r="H229" s="87"/>
    </row>
    <row r="230" spans="1:8" ht="14.25">
      <c r="A230" s="63"/>
      <c r="B230" s="54"/>
      <c r="C230" s="79"/>
      <c r="D230" s="79"/>
      <c r="E230" s="80"/>
      <c r="F230" s="79"/>
      <c r="G230" s="28"/>
      <c r="H230" s="87"/>
    </row>
    <row r="231" spans="1:8" ht="14.25">
      <c r="A231" s="63"/>
      <c r="B231" s="54"/>
      <c r="C231" s="79"/>
      <c r="D231" s="79"/>
      <c r="E231" s="80"/>
      <c r="F231" s="79"/>
      <c r="G231" s="28"/>
      <c r="H231" s="87"/>
    </row>
    <row r="232" spans="1:8" ht="14.25">
      <c r="A232" s="63"/>
      <c r="B232" s="54"/>
      <c r="C232" s="79"/>
      <c r="D232" s="79"/>
      <c r="E232" s="80"/>
      <c r="F232" s="79"/>
      <c r="G232" s="28"/>
      <c r="H232" s="87"/>
    </row>
    <row r="233" spans="1:8" ht="14.25">
      <c r="A233" s="63"/>
      <c r="B233" s="54"/>
      <c r="C233" s="79"/>
      <c r="D233" s="79"/>
      <c r="E233" s="80"/>
      <c r="F233" s="79"/>
      <c r="G233" s="28"/>
      <c r="H233" s="87"/>
    </row>
    <row r="234" spans="1:8" ht="14.25">
      <c r="A234" s="63"/>
      <c r="B234" s="54"/>
      <c r="C234" s="79"/>
      <c r="D234" s="79"/>
      <c r="E234" s="80"/>
      <c r="F234" s="79"/>
      <c r="G234" s="28"/>
      <c r="H234" s="87"/>
    </row>
    <row r="235" spans="1:8" ht="14.25">
      <c r="A235" s="63"/>
      <c r="B235" s="54"/>
      <c r="C235" s="79"/>
      <c r="D235" s="79"/>
      <c r="E235" s="80"/>
      <c r="F235" s="79"/>
      <c r="G235" s="28"/>
      <c r="H235" s="87"/>
    </row>
    <row r="236" spans="1:8" ht="14.25">
      <c r="A236" s="63"/>
      <c r="B236" s="54"/>
      <c r="C236" s="79"/>
      <c r="D236" s="79"/>
      <c r="E236" s="80"/>
      <c r="F236" s="79"/>
      <c r="G236" s="28"/>
      <c r="H236" s="87"/>
    </row>
    <row r="237" spans="1:8" ht="14.25">
      <c r="A237" s="63"/>
      <c r="B237" s="54"/>
      <c r="C237" s="79"/>
      <c r="D237" s="79"/>
      <c r="E237" s="80"/>
      <c r="F237" s="79"/>
      <c r="G237" s="28"/>
      <c r="H237" s="87"/>
    </row>
    <row r="238" spans="1:8" ht="14.25">
      <c r="A238" s="63"/>
      <c r="B238" s="54"/>
      <c r="C238" s="79"/>
      <c r="D238" s="79"/>
      <c r="E238" s="80"/>
      <c r="F238" s="79"/>
      <c r="G238" s="28"/>
      <c r="H238" s="87"/>
    </row>
    <row r="239" spans="1:8" ht="14.25">
      <c r="A239" s="63"/>
      <c r="B239" s="54"/>
      <c r="C239" s="79"/>
      <c r="D239" s="79"/>
      <c r="E239" s="80"/>
      <c r="F239" s="79"/>
      <c r="G239" s="28"/>
      <c r="H239" s="87"/>
    </row>
    <row r="240" spans="1:8" ht="14.25">
      <c r="A240" s="63"/>
      <c r="B240" s="54"/>
      <c r="C240" s="79"/>
      <c r="D240" s="79"/>
      <c r="E240" s="80"/>
      <c r="F240" s="79"/>
      <c r="G240" s="28"/>
      <c r="H240" s="87"/>
    </row>
    <row r="241" spans="1:8" ht="14.25">
      <c r="A241" s="63"/>
      <c r="B241" s="54"/>
      <c r="C241" s="79"/>
      <c r="D241" s="79"/>
      <c r="E241" s="80"/>
      <c r="F241" s="79"/>
      <c r="G241" s="28"/>
      <c r="H241" s="87"/>
    </row>
    <row r="242" spans="1:8" ht="14.25">
      <c r="A242" s="63"/>
      <c r="B242" s="54"/>
      <c r="C242" s="79"/>
      <c r="D242" s="79"/>
      <c r="E242" s="80"/>
      <c r="F242" s="79"/>
      <c r="G242" s="28"/>
      <c r="H242" s="87"/>
    </row>
    <row r="243" spans="1:8" ht="14.25">
      <c r="A243" s="63"/>
      <c r="B243" s="54"/>
      <c r="C243" s="79"/>
      <c r="D243" s="79"/>
      <c r="E243" s="80"/>
      <c r="F243" s="79"/>
      <c r="G243" s="28"/>
      <c r="H243" s="87"/>
    </row>
    <row r="244" spans="1:8" ht="14.25">
      <c r="A244" s="63"/>
      <c r="B244" s="54"/>
      <c r="C244" s="79"/>
      <c r="D244" s="79"/>
      <c r="E244" s="80"/>
      <c r="F244" s="79"/>
      <c r="G244" s="28"/>
      <c r="H244" s="87"/>
    </row>
    <row r="245" spans="1:8" ht="14.25">
      <c r="A245" s="63"/>
      <c r="B245" s="54"/>
      <c r="C245" s="79"/>
      <c r="D245" s="79"/>
      <c r="E245" s="80"/>
      <c r="F245" s="79"/>
      <c r="G245" s="28"/>
      <c r="H245" s="87"/>
    </row>
    <row r="246" spans="1:8" ht="14.25">
      <c r="A246" s="63"/>
      <c r="B246" s="54"/>
      <c r="C246" s="79"/>
      <c r="D246" s="79"/>
      <c r="E246" s="80"/>
      <c r="F246" s="79"/>
      <c r="G246" s="28"/>
      <c r="H246" s="87"/>
    </row>
    <row r="247" spans="1:8" ht="14.25">
      <c r="A247" s="63"/>
      <c r="B247" s="54"/>
      <c r="C247" s="79"/>
      <c r="D247" s="79"/>
      <c r="E247" s="80"/>
      <c r="F247" s="79"/>
      <c r="G247" s="28"/>
      <c r="H247" s="87"/>
    </row>
    <row r="248" spans="1:8" ht="14.25">
      <c r="A248" s="63"/>
      <c r="B248" s="54"/>
      <c r="C248" s="79"/>
      <c r="D248" s="79"/>
      <c r="E248" s="80"/>
      <c r="F248" s="79"/>
      <c r="G248" s="28"/>
      <c r="H248" s="87"/>
    </row>
    <row r="249" spans="1:8" ht="14.25">
      <c r="A249" s="63"/>
      <c r="B249" s="54"/>
      <c r="C249" s="79"/>
      <c r="D249" s="79"/>
      <c r="E249" s="80"/>
      <c r="F249" s="79"/>
      <c r="G249" s="28"/>
      <c r="H249" s="87"/>
    </row>
    <row r="250" spans="1:8" ht="14.25">
      <c r="A250" s="63"/>
      <c r="B250" s="54"/>
      <c r="C250" s="79"/>
      <c r="D250" s="79"/>
      <c r="E250" s="80"/>
      <c r="F250" s="79"/>
      <c r="G250" s="28"/>
      <c r="H250" s="87"/>
    </row>
    <row r="251" spans="1:8" ht="14.25">
      <c r="A251" s="63"/>
      <c r="B251" s="54"/>
      <c r="C251" s="79"/>
      <c r="D251" s="79"/>
      <c r="E251" s="80"/>
      <c r="F251" s="79"/>
      <c r="G251" s="28"/>
      <c r="H251" s="87"/>
    </row>
    <row r="252" spans="1:8" ht="14.25">
      <c r="A252" s="63"/>
      <c r="B252" s="54"/>
      <c r="C252" s="79"/>
      <c r="D252" s="79"/>
      <c r="E252" s="80"/>
      <c r="F252" s="79"/>
      <c r="G252" s="28"/>
      <c r="H252" s="87"/>
    </row>
    <row r="253" spans="1:8" ht="14.25">
      <c r="A253" s="63"/>
      <c r="B253" s="54"/>
      <c r="C253" s="79"/>
      <c r="D253" s="79"/>
      <c r="E253" s="80"/>
      <c r="F253" s="79"/>
      <c r="G253" s="28"/>
      <c r="H253" s="87"/>
    </row>
    <row r="254" spans="1:8" ht="14.25">
      <c r="A254" s="63"/>
      <c r="B254" s="54"/>
      <c r="C254" s="79"/>
      <c r="D254" s="79"/>
      <c r="E254" s="80"/>
      <c r="F254" s="79"/>
      <c r="G254" s="28"/>
      <c r="H254" s="87"/>
    </row>
    <row r="255" spans="1:8" ht="14.25">
      <c r="A255" s="63"/>
      <c r="B255" s="54"/>
      <c r="C255" s="79"/>
      <c r="D255" s="79"/>
      <c r="E255" s="80"/>
      <c r="F255" s="79"/>
      <c r="G255" s="28"/>
      <c r="H255" s="87"/>
    </row>
    <row r="256" spans="1:8" ht="14.25">
      <c r="A256" s="63"/>
      <c r="B256" s="54"/>
      <c r="C256" s="79"/>
      <c r="D256" s="79"/>
      <c r="E256" s="80"/>
      <c r="F256" s="79"/>
      <c r="G256" s="28"/>
      <c r="H256" s="87"/>
    </row>
    <row r="257" spans="1:8" ht="14.25">
      <c r="A257" s="63"/>
      <c r="B257" s="54"/>
      <c r="C257" s="79"/>
      <c r="D257" s="79"/>
      <c r="E257" s="80"/>
      <c r="F257" s="79"/>
      <c r="G257" s="28"/>
      <c r="H257" s="87"/>
    </row>
    <row r="258" spans="1:8" ht="14.25">
      <c r="A258" s="63"/>
      <c r="B258" s="54"/>
      <c r="C258" s="79"/>
      <c r="D258" s="79"/>
      <c r="E258" s="80"/>
      <c r="F258" s="79"/>
      <c r="G258" s="28"/>
      <c r="H258" s="87"/>
    </row>
    <row r="259" spans="1:8" ht="14.25">
      <c r="A259" s="63"/>
      <c r="B259" s="54"/>
      <c r="C259" s="79"/>
      <c r="D259" s="79"/>
      <c r="E259" s="80"/>
      <c r="F259" s="79"/>
      <c r="G259" s="28"/>
      <c r="H259" s="87"/>
    </row>
    <row r="260" spans="1:8" ht="14.25">
      <c r="A260" s="63"/>
      <c r="B260" s="54"/>
      <c r="C260" s="79"/>
      <c r="D260" s="79"/>
      <c r="E260" s="80"/>
      <c r="F260" s="79"/>
      <c r="G260" s="28"/>
      <c r="H260" s="87"/>
    </row>
    <row r="261" spans="1:8" ht="14.25">
      <c r="A261" s="63"/>
      <c r="B261" s="54"/>
      <c r="C261" s="79"/>
      <c r="D261" s="79"/>
      <c r="E261" s="80"/>
      <c r="F261" s="79"/>
      <c r="G261" s="28"/>
      <c r="H261" s="87"/>
    </row>
    <row r="262" spans="1:8" ht="14.25">
      <c r="A262" s="63"/>
      <c r="B262" s="54"/>
      <c r="C262" s="79"/>
      <c r="D262" s="79"/>
      <c r="E262" s="80"/>
      <c r="F262" s="79"/>
      <c r="G262" s="28"/>
      <c r="H262" s="87"/>
    </row>
    <row r="263" spans="1:8" ht="14.25">
      <c r="A263" s="63"/>
      <c r="B263" s="54"/>
      <c r="C263" s="79"/>
      <c r="D263" s="79"/>
      <c r="E263" s="80"/>
      <c r="F263" s="79"/>
      <c r="G263" s="28"/>
      <c r="H263" s="87"/>
    </row>
    <row r="264" spans="1:8" ht="14.25">
      <c r="A264" s="63"/>
      <c r="B264" s="54"/>
      <c r="C264" s="79"/>
      <c r="D264" s="79"/>
      <c r="E264" s="80"/>
      <c r="F264" s="79"/>
      <c r="G264" s="28"/>
      <c r="H264" s="87"/>
    </row>
    <row r="265" spans="1:8" ht="14.25">
      <c r="A265" s="63"/>
      <c r="B265" s="54"/>
      <c r="C265" s="79"/>
      <c r="D265" s="79"/>
      <c r="E265" s="80"/>
      <c r="F265" s="79"/>
      <c r="G265" s="28"/>
      <c r="H265" s="87"/>
    </row>
    <row r="266" spans="1:8" ht="14.25">
      <c r="A266" s="63"/>
      <c r="B266" s="54"/>
      <c r="C266" s="79"/>
      <c r="D266" s="79"/>
      <c r="E266" s="80"/>
      <c r="F266" s="79"/>
      <c r="G266" s="28"/>
      <c r="H266" s="87"/>
    </row>
    <row r="267" spans="1:8" ht="14.25">
      <c r="A267" s="63"/>
      <c r="B267" s="54"/>
      <c r="C267" s="79"/>
      <c r="D267" s="79"/>
      <c r="E267" s="80"/>
      <c r="F267" s="79"/>
      <c r="G267" s="28"/>
      <c r="H267" s="87"/>
    </row>
    <row r="268" spans="1:8" ht="14.25">
      <c r="A268" s="63"/>
      <c r="B268" s="54"/>
      <c r="C268" s="79"/>
      <c r="D268" s="79"/>
      <c r="E268" s="80"/>
      <c r="F268" s="79"/>
      <c r="G268" s="28"/>
      <c r="H268" s="87"/>
    </row>
    <row r="269" spans="1:8" ht="14.25">
      <c r="A269" s="63"/>
      <c r="B269" s="54"/>
      <c r="C269" s="79"/>
      <c r="D269" s="79"/>
      <c r="E269" s="80"/>
      <c r="F269" s="79"/>
      <c r="G269" s="28"/>
      <c r="H269" s="87"/>
    </row>
    <row r="270" spans="1:8" ht="14.25">
      <c r="A270" s="63"/>
      <c r="B270" s="54"/>
      <c r="C270" s="79"/>
      <c r="D270" s="79"/>
      <c r="E270" s="80"/>
      <c r="F270" s="79"/>
      <c r="G270" s="28"/>
      <c r="H270" s="87"/>
    </row>
    <row r="271" spans="1:8" ht="14.25">
      <c r="A271" s="63"/>
      <c r="B271" s="54"/>
      <c r="C271" s="79"/>
      <c r="D271" s="79"/>
      <c r="E271" s="80"/>
      <c r="F271" s="79"/>
      <c r="G271" s="28"/>
      <c r="H271" s="87"/>
    </row>
    <row r="272" spans="1:8" ht="14.25">
      <c r="A272" s="63"/>
      <c r="B272" s="54"/>
      <c r="C272" s="79"/>
      <c r="D272" s="79"/>
      <c r="E272" s="80"/>
      <c r="F272" s="79"/>
      <c r="G272" s="28"/>
      <c r="H272" s="87"/>
    </row>
    <row r="273" spans="1:8" ht="14.25">
      <c r="A273" s="63"/>
      <c r="B273" s="54"/>
      <c r="C273" s="79"/>
      <c r="D273" s="79"/>
      <c r="E273" s="80"/>
      <c r="F273" s="79"/>
      <c r="G273" s="28"/>
      <c r="H273" s="87"/>
    </row>
    <row r="274" spans="1:8" ht="14.25">
      <c r="A274" s="63"/>
      <c r="B274" s="54"/>
      <c r="C274" s="79"/>
      <c r="D274" s="79"/>
      <c r="E274" s="80"/>
      <c r="F274" s="79"/>
      <c r="G274" s="28"/>
      <c r="H274" s="87"/>
    </row>
    <row r="275" spans="1:8" ht="14.25">
      <c r="A275" s="63"/>
      <c r="B275" s="54"/>
      <c r="C275" s="79"/>
      <c r="D275" s="79"/>
      <c r="E275" s="80"/>
      <c r="F275" s="79"/>
      <c r="G275" s="28"/>
      <c r="H275" s="87"/>
    </row>
    <row r="276" spans="1:8" ht="14.25">
      <c r="A276" s="63"/>
      <c r="B276" s="54"/>
      <c r="C276" s="79"/>
      <c r="D276" s="79"/>
      <c r="E276" s="80"/>
      <c r="F276" s="79"/>
      <c r="G276" s="28"/>
      <c r="H276" s="87"/>
    </row>
    <row r="277" spans="1:8" ht="14.25">
      <c r="A277" s="63"/>
      <c r="B277" s="54"/>
      <c r="C277" s="79"/>
      <c r="D277" s="79"/>
      <c r="E277" s="80"/>
      <c r="F277" s="79"/>
      <c r="G277" s="28"/>
      <c r="H277" s="87"/>
    </row>
    <row r="278" spans="1:8" ht="14.25">
      <c r="A278" s="63"/>
      <c r="B278" s="54"/>
      <c r="C278" s="79"/>
      <c r="D278" s="79"/>
      <c r="E278" s="80"/>
      <c r="F278" s="79"/>
      <c r="G278" s="28"/>
      <c r="H278" s="87"/>
    </row>
    <row r="279" spans="1:8" ht="14.25">
      <c r="A279" s="63"/>
      <c r="B279" s="54"/>
      <c r="C279" s="79"/>
      <c r="D279" s="79"/>
      <c r="E279" s="80"/>
      <c r="F279" s="79"/>
      <c r="G279" s="28"/>
      <c r="H279" s="87"/>
    </row>
    <row r="280" spans="1:8" ht="14.25">
      <c r="A280" s="63"/>
      <c r="B280" s="54"/>
      <c r="C280" s="79"/>
      <c r="D280" s="79"/>
      <c r="E280" s="80"/>
      <c r="F280" s="79"/>
      <c r="G280" s="28"/>
      <c r="H280" s="87"/>
    </row>
    <row r="281" spans="1:8" ht="14.25">
      <c r="A281" s="63"/>
      <c r="B281" s="54"/>
      <c r="C281" s="79"/>
      <c r="D281" s="79"/>
      <c r="E281" s="80"/>
      <c r="F281" s="79"/>
      <c r="G281" s="28"/>
      <c r="H281" s="87"/>
    </row>
    <row r="282" spans="1:8" ht="14.25">
      <c r="A282" s="63"/>
      <c r="B282" s="54"/>
      <c r="C282" s="79"/>
      <c r="D282" s="79"/>
      <c r="E282" s="80"/>
      <c r="F282" s="79"/>
      <c r="G282" s="28"/>
      <c r="H282" s="87"/>
    </row>
    <row r="283" spans="1:8" ht="14.25">
      <c r="A283" s="63"/>
      <c r="B283" s="54"/>
      <c r="C283" s="79"/>
      <c r="D283" s="79"/>
      <c r="E283" s="80"/>
      <c r="F283" s="79"/>
      <c r="G283" s="28"/>
      <c r="H283" s="87"/>
    </row>
    <row r="284" spans="1:8" ht="14.25">
      <c r="A284" s="63"/>
      <c r="B284" s="54"/>
      <c r="C284" s="79"/>
      <c r="D284" s="79"/>
      <c r="E284" s="80"/>
      <c r="F284" s="79"/>
      <c r="G284" s="28"/>
      <c r="H284" s="87"/>
    </row>
    <row r="285" spans="1:8" ht="14.25">
      <c r="A285" s="63"/>
      <c r="B285" s="54"/>
      <c r="C285" s="79"/>
      <c r="D285" s="79"/>
      <c r="E285" s="80"/>
      <c r="F285" s="79"/>
      <c r="G285" s="28"/>
      <c r="H285" s="87"/>
    </row>
    <row r="286" spans="1:8" ht="14.25">
      <c r="A286" s="63"/>
      <c r="B286" s="54"/>
      <c r="C286" s="79"/>
      <c r="D286" s="79"/>
      <c r="E286" s="80"/>
      <c r="F286" s="79"/>
      <c r="G286" s="28"/>
      <c r="H286" s="87"/>
    </row>
    <row r="287" spans="1:8" ht="14.25">
      <c r="A287" s="63"/>
      <c r="B287" s="54"/>
      <c r="C287" s="79"/>
      <c r="D287" s="79"/>
      <c r="E287" s="80"/>
      <c r="F287" s="79"/>
      <c r="G287" s="28"/>
      <c r="H287" s="87"/>
    </row>
    <row r="288" spans="1:8" ht="14.25">
      <c r="A288" s="63"/>
      <c r="B288" s="54"/>
      <c r="C288" s="79"/>
      <c r="D288" s="79"/>
      <c r="E288" s="80"/>
      <c r="F288" s="79"/>
      <c r="G288" s="28"/>
      <c r="H288" s="87"/>
    </row>
    <row r="289" spans="1:8" ht="14.25">
      <c r="A289" s="63"/>
      <c r="B289" s="54"/>
      <c r="C289" s="79"/>
      <c r="D289" s="79"/>
      <c r="E289" s="80"/>
      <c r="F289" s="79"/>
      <c r="G289" s="28"/>
      <c r="H289" s="87"/>
    </row>
    <row r="290" spans="1:8" ht="14.25">
      <c r="A290" s="63"/>
      <c r="B290" s="54"/>
      <c r="C290" s="79"/>
      <c r="D290" s="79"/>
      <c r="E290" s="80"/>
      <c r="F290" s="79"/>
      <c r="G290" s="28"/>
      <c r="H290" s="87"/>
    </row>
    <row r="291" spans="1:8" ht="14.25">
      <c r="A291" s="63"/>
      <c r="B291" s="54"/>
      <c r="C291" s="79"/>
      <c r="D291" s="79"/>
      <c r="E291" s="80"/>
      <c r="F291" s="79"/>
      <c r="G291" s="28"/>
      <c r="H291" s="87"/>
    </row>
    <row r="292" spans="1:8" ht="14.25">
      <c r="A292" s="63"/>
      <c r="B292" s="54"/>
      <c r="C292" s="79"/>
      <c r="D292" s="79"/>
      <c r="E292" s="80"/>
      <c r="F292" s="79"/>
      <c r="G292" s="28"/>
      <c r="H292" s="87"/>
    </row>
    <row r="293" spans="1:8" ht="14.25">
      <c r="A293" s="63"/>
      <c r="B293" s="54"/>
      <c r="C293" s="79"/>
      <c r="D293" s="79"/>
      <c r="E293" s="80"/>
      <c r="F293" s="79"/>
      <c r="G293" s="28"/>
      <c r="H293" s="87"/>
    </row>
    <row r="294" spans="1:8" ht="14.25">
      <c r="A294" s="63"/>
      <c r="B294" s="54"/>
      <c r="C294" s="79"/>
      <c r="D294" s="79"/>
      <c r="E294" s="80"/>
      <c r="F294" s="79"/>
      <c r="G294" s="28"/>
      <c r="H294" s="87"/>
    </row>
    <row r="295" spans="1:8" ht="14.25">
      <c r="A295" s="63"/>
      <c r="B295" s="54"/>
      <c r="C295" s="79"/>
      <c r="D295" s="79"/>
      <c r="E295" s="80"/>
      <c r="F295" s="79"/>
      <c r="G295" s="28"/>
      <c r="H295" s="87"/>
    </row>
    <row r="296" spans="1:8" ht="14.25">
      <c r="A296" s="63"/>
      <c r="B296" s="54"/>
      <c r="C296" s="79"/>
      <c r="D296" s="79"/>
      <c r="E296" s="80"/>
      <c r="F296" s="79"/>
      <c r="G296" s="28"/>
      <c r="H296" s="87"/>
    </row>
    <row r="297" spans="1:8" ht="14.25">
      <c r="A297" s="63"/>
      <c r="B297" s="54"/>
      <c r="C297" s="79"/>
      <c r="D297" s="79"/>
      <c r="E297" s="80"/>
      <c r="F297" s="79"/>
      <c r="G297" s="28"/>
      <c r="H297" s="87"/>
    </row>
    <row r="298" spans="1:8" ht="14.25">
      <c r="A298" s="63"/>
      <c r="B298" s="54"/>
      <c r="C298" s="79"/>
      <c r="D298" s="79"/>
      <c r="E298" s="80"/>
      <c r="F298" s="79"/>
      <c r="G298" s="28"/>
      <c r="H298" s="87"/>
    </row>
    <row r="299" spans="1:8" ht="14.25">
      <c r="A299" s="63"/>
      <c r="B299" s="54"/>
      <c r="C299" s="79"/>
      <c r="D299" s="79"/>
      <c r="E299" s="80"/>
      <c r="F299" s="79"/>
      <c r="G299" s="28"/>
      <c r="H299" s="87"/>
    </row>
    <row r="300" spans="1:8" ht="14.25">
      <c r="A300" s="63"/>
      <c r="B300" s="54"/>
      <c r="C300" s="79"/>
      <c r="D300" s="79"/>
      <c r="E300" s="80"/>
      <c r="F300" s="79"/>
      <c r="G300" s="28"/>
      <c r="H300" s="87"/>
    </row>
    <row r="301" spans="1:8" ht="14.25">
      <c r="A301" s="63"/>
      <c r="B301" s="54"/>
      <c r="C301" s="79"/>
      <c r="D301" s="79"/>
      <c r="E301" s="80"/>
      <c r="F301" s="79"/>
      <c r="G301" s="28"/>
      <c r="H301" s="87"/>
    </row>
    <row r="302" spans="1:8" ht="14.25">
      <c r="A302" s="63"/>
      <c r="B302" s="54"/>
      <c r="C302" s="79"/>
      <c r="D302" s="79"/>
      <c r="E302" s="80"/>
      <c r="F302" s="79"/>
      <c r="G302" s="28"/>
      <c r="H302" s="87"/>
    </row>
    <row r="303" spans="1:8" ht="14.25">
      <c r="A303" s="63"/>
      <c r="B303" s="54"/>
      <c r="C303" s="79"/>
      <c r="D303" s="79"/>
      <c r="E303" s="80"/>
      <c r="F303" s="79"/>
      <c r="G303" s="28"/>
      <c r="H303" s="87"/>
    </row>
    <row r="304" spans="1:8" ht="14.25">
      <c r="A304" s="63"/>
      <c r="B304" s="54"/>
      <c r="C304" s="79"/>
      <c r="D304" s="79"/>
      <c r="E304" s="80"/>
      <c r="F304" s="79"/>
      <c r="G304" s="28"/>
      <c r="H304" s="87"/>
    </row>
    <row r="305" spans="1:8" ht="14.25">
      <c r="A305" s="63"/>
      <c r="B305" s="54"/>
      <c r="C305" s="79"/>
      <c r="D305" s="79"/>
      <c r="E305" s="80"/>
      <c r="F305" s="79"/>
      <c r="G305" s="28"/>
      <c r="H305" s="87"/>
    </row>
    <row r="306" spans="1:8" ht="14.25">
      <c r="A306" s="63"/>
      <c r="B306" s="54"/>
      <c r="C306" s="79"/>
      <c r="D306" s="79"/>
      <c r="E306" s="80"/>
      <c r="F306" s="79"/>
      <c r="G306" s="28"/>
      <c r="H306" s="87"/>
    </row>
    <row r="307" spans="1:8" ht="14.25">
      <c r="A307" s="63"/>
      <c r="B307" s="54"/>
      <c r="C307" s="79"/>
      <c r="D307" s="79"/>
      <c r="E307" s="80"/>
      <c r="F307" s="79"/>
      <c r="G307" s="28"/>
      <c r="H307" s="87"/>
    </row>
    <row r="308" spans="1:8" ht="14.25">
      <c r="A308" s="63"/>
      <c r="B308" s="54"/>
      <c r="C308" s="79"/>
      <c r="D308" s="79"/>
      <c r="E308" s="80"/>
      <c r="F308" s="79"/>
      <c r="G308" s="28"/>
      <c r="H308" s="87"/>
    </row>
    <row r="309" spans="1:8" ht="14.25">
      <c r="A309" s="63"/>
      <c r="B309" s="54"/>
      <c r="C309" s="79"/>
      <c r="D309" s="79"/>
      <c r="E309" s="80"/>
      <c r="F309" s="79"/>
      <c r="G309" s="28"/>
      <c r="H309" s="87"/>
    </row>
    <row r="310" spans="1:8" ht="14.25">
      <c r="A310" s="63"/>
      <c r="B310" s="54"/>
      <c r="C310" s="79"/>
      <c r="D310" s="79"/>
      <c r="E310" s="80"/>
      <c r="F310" s="79"/>
      <c r="G310" s="28"/>
      <c r="H310" s="87"/>
    </row>
    <row r="311" spans="1:8" ht="14.25">
      <c r="A311" s="63"/>
      <c r="B311" s="54"/>
      <c r="C311" s="79"/>
      <c r="D311" s="79"/>
      <c r="E311" s="80"/>
      <c r="F311" s="79"/>
      <c r="G311" s="28"/>
      <c r="H311" s="87"/>
    </row>
    <row r="312" spans="1:8" ht="14.25">
      <c r="A312" s="63"/>
      <c r="B312" s="54"/>
      <c r="C312" s="79"/>
      <c r="D312" s="79"/>
      <c r="E312" s="80"/>
      <c r="F312" s="79"/>
      <c r="G312" s="28"/>
      <c r="H312" s="87"/>
    </row>
    <row r="313" spans="1:8" ht="14.25">
      <c r="A313" s="63"/>
      <c r="B313" s="54"/>
      <c r="C313" s="79"/>
      <c r="D313" s="79"/>
      <c r="E313" s="80"/>
      <c r="F313" s="79"/>
      <c r="G313" s="28"/>
      <c r="H313" s="87"/>
    </row>
    <row r="314" spans="1:8" ht="14.25">
      <c r="A314" s="63"/>
      <c r="B314" s="54"/>
      <c r="C314" s="79"/>
      <c r="D314" s="79"/>
      <c r="E314" s="80"/>
      <c r="F314" s="79"/>
      <c r="G314" s="28"/>
      <c r="H314" s="87"/>
    </row>
    <row r="315" spans="1:8" ht="14.25">
      <c r="A315" s="63"/>
      <c r="B315" s="54"/>
      <c r="C315" s="79"/>
      <c r="D315" s="79"/>
      <c r="E315" s="80"/>
      <c r="F315" s="79"/>
      <c r="G315" s="28"/>
      <c r="H315" s="87"/>
    </row>
    <row r="316" spans="1:8" ht="14.25">
      <c r="A316" s="63"/>
      <c r="B316" s="54"/>
      <c r="C316" s="79"/>
      <c r="D316" s="79"/>
      <c r="E316" s="80"/>
      <c r="F316" s="79"/>
      <c r="G316" s="28"/>
      <c r="H316" s="87"/>
    </row>
    <row r="317" spans="1:8" ht="14.25">
      <c r="A317" s="63"/>
      <c r="B317" s="54"/>
      <c r="C317" s="79"/>
      <c r="D317" s="79"/>
      <c r="E317" s="80"/>
      <c r="F317" s="79"/>
      <c r="G317" s="28"/>
      <c r="H317" s="87"/>
    </row>
    <row r="318" spans="1:8" ht="14.25">
      <c r="A318" s="63"/>
      <c r="B318" s="54"/>
      <c r="C318" s="79"/>
      <c r="D318" s="79"/>
      <c r="E318" s="80"/>
      <c r="F318" s="79"/>
      <c r="G318" s="28"/>
      <c r="H318" s="87"/>
    </row>
    <row r="319" spans="1:8" ht="14.25">
      <c r="A319" s="63"/>
      <c r="B319" s="54"/>
      <c r="C319" s="79"/>
      <c r="D319" s="79"/>
      <c r="E319" s="80"/>
      <c r="F319" s="79"/>
      <c r="G319" s="28"/>
      <c r="H319" s="87"/>
    </row>
    <row r="320" spans="1:8" ht="14.25">
      <c r="A320" s="63"/>
      <c r="B320" s="54"/>
      <c r="C320" s="79"/>
      <c r="D320" s="79"/>
      <c r="E320" s="80"/>
      <c r="F320" s="79"/>
      <c r="G320" s="28"/>
      <c r="H320" s="87"/>
    </row>
    <row r="321" spans="1:8" ht="14.25">
      <c r="A321" s="63"/>
      <c r="B321" s="54"/>
      <c r="C321" s="79"/>
      <c r="D321" s="79"/>
      <c r="E321" s="80"/>
      <c r="F321" s="79"/>
      <c r="G321" s="28"/>
      <c r="H321" s="87"/>
    </row>
    <row r="322" spans="1:8" ht="14.25">
      <c r="A322" s="63"/>
      <c r="B322" s="54"/>
      <c r="C322" s="79"/>
      <c r="D322" s="79"/>
      <c r="E322" s="80"/>
      <c r="F322" s="79"/>
      <c r="G322" s="28"/>
      <c r="H322" s="87"/>
    </row>
    <row r="323" spans="1:8" ht="14.25">
      <c r="A323" s="63"/>
      <c r="B323" s="54"/>
      <c r="C323" s="79"/>
      <c r="D323" s="79"/>
      <c r="E323" s="80"/>
      <c r="F323" s="79"/>
      <c r="G323" s="28"/>
      <c r="H323" s="87"/>
    </row>
    <row r="324" spans="1:8" ht="14.25">
      <c r="A324" s="63"/>
      <c r="B324" s="54"/>
      <c r="C324" s="79"/>
      <c r="D324" s="79"/>
      <c r="E324" s="80"/>
      <c r="F324" s="79"/>
      <c r="G324" s="28"/>
      <c r="H324" s="87"/>
    </row>
    <row r="325" spans="1:8" ht="14.25">
      <c r="A325" s="63"/>
      <c r="B325" s="54"/>
      <c r="C325" s="79"/>
      <c r="D325" s="79"/>
      <c r="E325" s="80"/>
      <c r="F325" s="79"/>
      <c r="G325" s="28"/>
      <c r="H325" s="87"/>
    </row>
    <row r="326" spans="1:8" ht="14.25">
      <c r="A326" s="63"/>
      <c r="B326" s="54"/>
      <c r="C326" s="79"/>
      <c r="D326" s="79"/>
      <c r="E326" s="80"/>
      <c r="F326" s="79"/>
      <c r="G326" s="28"/>
      <c r="H326" s="87"/>
    </row>
    <row r="327" spans="1:8" ht="14.25">
      <c r="A327" s="63"/>
      <c r="B327" s="54"/>
      <c r="C327" s="79"/>
      <c r="D327" s="79"/>
      <c r="E327" s="80"/>
      <c r="F327" s="79"/>
      <c r="G327" s="28"/>
      <c r="H327" s="87"/>
    </row>
  </sheetData>
  <mergeCells count="21">
    <mergeCell ref="D111:G111"/>
    <mergeCell ref="A1:H1"/>
    <mergeCell ref="A2:H2"/>
    <mergeCell ref="A3:H3"/>
    <mergeCell ref="A4:H4"/>
    <mergeCell ref="A54:H54"/>
    <mergeCell ref="A56:H56"/>
    <mergeCell ref="A75:H75"/>
    <mergeCell ref="A88:H88"/>
    <mergeCell ref="A93:H93"/>
    <mergeCell ref="A103:H103"/>
    <mergeCell ref="A105:H105"/>
    <mergeCell ref="A158:H158"/>
    <mergeCell ref="G213:H213"/>
    <mergeCell ref="G221:H221"/>
    <mergeCell ref="G222:H222"/>
    <mergeCell ref="A186:H186"/>
    <mergeCell ref="A210:E212"/>
    <mergeCell ref="G210:H210"/>
    <mergeCell ref="G211:H211"/>
    <mergeCell ref="G212:H212"/>
  </mergeCells>
  <conditionalFormatting sqref="H16 A14 H11:H12">
    <cfRule type="cellIs" dxfId="155" priority="7" operator="equal">
      <formula>0</formula>
    </cfRule>
  </conditionalFormatting>
  <pageMargins left="0.7" right="0.7" top="0.78740157499999996" bottom="0.78740157499999996" header="0.3" footer="0.3"/>
  <pageSetup paperSize="9" scale="93" orientation="portrait" r:id="rId1"/>
  <rowBreaks count="3" manualBreakCount="3">
    <brk id="53" max="7" man="1"/>
    <brk id="102" max="7" man="1"/>
    <brk id="157" max="7" man="1"/>
  </rowBreaks>
  <extLst>
    <ext xmlns:x14="http://schemas.microsoft.com/office/spreadsheetml/2009/9/main" uri="{78C0D931-6437-407d-A8EE-F0AAD7539E65}">
      <x14:conditionalFormattings>
        <x14:conditionalFormatting xmlns:xm="http://schemas.microsoft.com/office/excel/2006/main">
          <x14:cfRule type="expression" priority="5" id="{E3E3E203-8AA3-4180-8C96-6A19247BA237}">
            <xm:f>Ergebnis!$E$28=0</xm:f>
            <x14:dxf>
              <font>
                <color theme="0"/>
              </font>
            </x14:dxf>
          </x14:cfRule>
          <xm:sqref>A143:H146</xm:sqref>
        </x14:conditionalFormatting>
        <x14:conditionalFormatting xmlns:xm="http://schemas.microsoft.com/office/excel/2006/main">
          <x14:cfRule type="expression" priority="4" id="{D1B0613A-3EC2-40F8-8428-8CAFDC435628}">
            <xm:f>Ergebnis!$E$28=0</xm:f>
            <x14:dxf>
              <font>
                <color theme="0"/>
              </font>
            </x14:dxf>
          </x14:cfRule>
          <xm:sqref>A138:H141</xm:sqref>
        </x14:conditionalFormatting>
        <x14:conditionalFormatting xmlns:xm="http://schemas.microsoft.com/office/excel/2006/main">
          <x14:cfRule type="expression" priority="3" id="{543036A0-1B91-4F9C-841E-C63BF3882460}">
            <xm:f>Ergebnis!$E$28=0</xm:f>
            <x14:dxf>
              <font>
                <color theme="0"/>
              </font>
            </x14:dxf>
          </x14:cfRule>
          <xm:sqref>A142:I142</xm:sqref>
        </x14:conditionalFormatting>
        <x14:conditionalFormatting xmlns:xm="http://schemas.microsoft.com/office/excel/2006/main">
          <x14:cfRule type="expression" priority="2" id="{9A7BBEB7-1ED6-48A5-993F-FE9930F9C2F7}">
            <xm:f>Ergebnis!$E$28=0</xm:f>
            <x14:dxf>
              <font>
                <color theme="0"/>
              </font>
            </x14:dxf>
          </x14:cfRule>
          <xm:sqref>A142:H142</xm:sqref>
        </x14:conditionalFormatting>
        <x14:conditionalFormatting xmlns:xm="http://schemas.microsoft.com/office/excel/2006/main">
          <x14:cfRule type="expression" priority="1" id="{103C7914-2123-4A92-BAF1-D3D3420F1F56}">
            <xm:f>Ergebnis!$E$28=0</xm:f>
            <x14:dxf>
              <font>
                <color theme="0"/>
              </font>
            </x14:dxf>
          </x14:cfRule>
          <xm:sqref>A138:H146</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B1:R57"/>
  <sheetViews>
    <sheetView zoomScaleNormal="100" workbookViewId="0">
      <selection activeCell="K9" sqref="K9"/>
    </sheetView>
  </sheetViews>
  <sheetFormatPr baseColWidth="10" defaultColWidth="11.42578125" defaultRowHeight="12.75" outlineLevelRow="1"/>
  <cols>
    <col min="1" max="1" width="3.7109375" style="466" customWidth="1"/>
    <col min="2" max="4" width="11.42578125" style="466"/>
    <col min="5" max="5" width="9.42578125" style="466" customWidth="1"/>
    <col min="6" max="6" width="28" style="466" customWidth="1"/>
    <col min="7" max="7" width="16" style="466" customWidth="1"/>
    <col min="8" max="8" width="1.140625" style="466" customWidth="1"/>
    <col min="9" max="9" width="21.42578125" style="466" customWidth="1"/>
    <col min="10" max="10" width="0.42578125" style="466" customWidth="1"/>
    <col min="11" max="11" width="12.7109375" style="466" customWidth="1"/>
    <col min="12" max="12" width="10.28515625" style="466" customWidth="1"/>
    <col min="13" max="14" width="10.5703125" style="466" customWidth="1"/>
    <col min="15" max="16384" width="11.42578125" style="466"/>
  </cols>
  <sheetData>
    <row r="1" spans="2:17" ht="15" customHeight="1">
      <c r="P1" s="497"/>
      <c r="Q1" s="498" t="s">
        <v>1147</v>
      </c>
    </row>
    <row r="2" spans="2:17" s="465" customFormat="1" ht="15" customHeight="1">
      <c r="B2" s="4699" t="str">
        <f>CONCATENATE('Copy &amp; Paste'!B5,", ",'Copy &amp; Paste'!B7,", ",'Copy &amp; Paste'!B8," ",'Copy &amp; Paste'!C8)</f>
        <v xml:space="preserve">, ,  </v>
      </c>
      <c r="C2" s="4699"/>
      <c r="D2" s="4699"/>
      <c r="E2" s="4699"/>
      <c r="F2" s="4699"/>
      <c r="G2" s="4699"/>
      <c r="P2" s="499"/>
      <c r="Q2" s="498" t="s">
        <v>1192</v>
      </c>
    </row>
    <row r="3" spans="2:17" ht="15" customHeight="1">
      <c r="P3" s="500"/>
      <c r="Q3" s="498" t="s">
        <v>1193</v>
      </c>
    </row>
    <row r="4" spans="2:17" ht="13.5" thickBot="1"/>
    <row r="5" spans="2:17" ht="13.5" thickBot="1">
      <c r="B5" s="4700" t="s">
        <v>261</v>
      </c>
      <c r="C5" s="4701"/>
      <c r="D5" s="4701"/>
      <c r="E5" s="4701"/>
      <c r="F5" s="4701"/>
      <c r="G5" s="4702"/>
      <c r="I5" s="4700" t="s">
        <v>1247</v>
      </c>
      <c r="J5" s="4701"/>
      <c r="K5" s="4701"/>
      <c r="L5" s="4701"/>
      <c r="M5" s="4701"/>
      <c r="N5" s="4701"/>
      <c r="O5" s="4702"/>
    </row>
    <row r="6" spans="2:17">
      <c r="B6" s="467"/>
      <c r="C6" s="467"/>
      <c r="D6" s="467"/>
      <c r="E6" s="467"/>
      <c r="F6" s="467"/>
      <c r="G6" s="467"/>
    </row>
    <row r="7" spans="2:17">
      <c r="B7" s="468"/>
      <c r="C7" s="469"/>
      <c r="D7" s="469"/>
      <c r="E7" s="469"/>
      <c r="F7" s="469"/>
      <c r="G7" s="470"/>
      <c r="I7" s="501"/>
      <c r="J7" s="502"/>
      <c r="K7" s="502"/>
      <c r="L7" s="502"/>
      <c r="M7" s="502"/>
      <c r="N7" s="502"/>
      <c r="O7" s="503"/>
    </row>
    <row r="8" spans="2:17">
      <c r="B8" s="471" t="s">
        <v>1197</v>
      </c>
      <c r="C8" s="472"/>
      <c r="D8" s="472"/>
      <c r="E8" s="472"/>
      <c r="F8" s="472"/>
      <c r="G8" s="473" t="e">
        <f>IF('Copy &amp; Paste'!B14="nein",Ergebnis!G55,SUMPRODUCT(Pauschal!B20:B23,Pauschal!H20:H23)+(Pauschal!B24*((SUM('Copy &amp; Paste'!F28,Pauschal!C34)+(1+Pauschal!I1)))+G23))</f>
        <v>#VALUE!</v>
      </c>
      <c r="I8" s="504" t="s">
        <v>1190</v>
      </c>
      <c r="J8" s="505"/>
      <c r="K8" s="505" t="s">
        <v>811</v>
      </c>
      <c r="L8" s="505" t="s">
        <v>812</v>
      </c>
      <c r="M8" s="505" t="s">
        <v>813</v>
      </c>
      <c r="N8" s="505" t="s">
        <v>814</v>
      </c>
      <c r="O8" s="506" t="s">
        <v>815</v>
      </c>
    </row>
    <row r="9" spans="2:17">
      <c r="B9" s="474"/>
      <c r="C9" s="472"/>
      <c r="D9" s="472"/>
      <c r="E9" s="472"/>
      <c r="F9" s="472"/>
      <c r="G9" s="475"/>
      <c r="I9" s="507">
        <f>SUM(K9:O9)</f>
        <v>0</v>
      </c>
      <c r="J9" s="505"/>
      <c r="K9" s="508"/>
      <c r="L9" s="508"/>
      <c r="M9" s="508"/>
      <c r="N9" s="508"/>
      <c r="O9" s="509"/>
    </row>
    <row r="10" spans="2:17" outlineLevel="1">
      <c r="B10" s="471" t="s">
        <v>1264</v>
      </c>
      <c r="C10" s="472"/>
      <c r="D10" s="472"/>
      <c r="E10" s="472"/>
      <c r="F10" s="472"/>
      <c r="G10" s="477">
        <f>IF(ISBLANK(G14),SUM(G20,G23,G27),G14)</f>
        <v>0</v>
      </c>
      <c r="I10" s="510">
        <f>SUM(K10:O10)</f>
        <v>0</v>
      </c>
      <c r="J10" s="505"/>
      <c r="K10" s="511"/>
      <c r="L10" s="511"/>
      <c r="M10" s="511"/>
      <c r="N10" s="511"/>
      <c r="O10" s="512"/>
    </row>
    <row r="11" spans="2:17">
      <c r="B11" s="474"/>
      <c r="C11" s="472"/>
      <c r="D11" s="472"/>
      <c r="E11" s="472"/>
      <c r="F11" s="472"/>
      <c r="G11" s="475"/>
      <c r="I11" s="504"/>
      <c r="J11" s="505"/>
      <c r="K11" s="505"/>
      <c r="L11" s="505"/>
      <c r="M11" s="505"/>
      <c r="N11" s="505"/>
      <c r="O11" s="506"/>
    </row>
    <row r="12" spans="2:17" outlineLevel="1">
      <c r="B12" s="476" t="s">
        <v>1239</v>
      </c>
      <c r="C12" s="472"/>
      <c r="D12" s="472"/>
      <c r="E12" s="472"/>
      <c r="F12" s="472"/>
      <c r="G12" s="475"/>
      <c r="I12" s="504" t="s">
        <v>1248</v>
      </c>
      <c r="J12" s="505"/>
      <c r="K12" s="513">
        <f>L10*770+M10*1262+N10*1775+O10*2005</f>
        <v>0</v>
      </c>
      <c r="L12" s="505"/>
      <c r="M12" s="505"/>
      <c r="N12" s="505"/>
      <c r="O12" s="506"/>
    </row>
    <row r="13" spans="2:17" outlineLevel="1">
      <c r="B13" s="474"/>
      <c r="C13" s="472"/>
      <c r="D13" s="472"/>
      <c r="E13" s="472"/>
      <c r="F13" s="472"/>
      <c r="G13" s="475"/>
      <c r="I13" s="504" t="s">
        <v>1249</v>
      </c>
      <c r="J13" s="505"/>
      <c r="K13" s="514" t="str">
        <f>IF(ISNUMBER(G19),G19,"")</f>
        <v/>
      </c>
      <c r="L13" s="505"/>
      <c r="M13" s="505"/>
      <c r="N13" s="505"/>
      <c r="O13" s="506"/>
    </row>
    <row r="14" spans="2:17" outlineLevel="1">
      <c r="B14" s="474"/>
      <c r="C14" s="472" t="s">
        <v>91</v>
      </c>
      <c r="D14" s="472"/>
      <c r="E14" s="472"/>
      <c r="F14" s="472"/>
      <c r="G14" s="492"/>
      <c r="I14" s="504"/>
      <c r="J14" s="505"/>
      <c r="K14" s="505"/>
      <c r="L14" s="505"/>
      <c r="M14" s="505"/>
      <c r="N14" s="505"/>
      <c r="O14" s="506"/>
    </row>
    <row r="15" spans="2:17">
      <c r="B15" s="474"/>
      <c r="C15" s="472"/>
      <c r="D15" s="472"/>
      <c r="E15" s="472"/>
      <c r="F15" s="472"/>
      <c r="G15" s="478"/>
      <c r="I15" s="504"/>
      <c r="J15" s="505"/>
      <c r="K15" s="505"/>
      <c r="L15" s="505"/>
      <c r="M15" s="505"/>
      <c r="N15" s="505"/>
      <c r="O15" s="506"/>
    </row>
    <row r="16" spans="2:17">
      <c r="B16" s="474"/>
      <c r="C16" s="472"/>
      <c r="D16" s="472"/>
      <c r="E16" s="472"/>
      <c r="F16" s="472"/>
      <c r="G16" s="479"/>
      <c r="I16" s="504"/>
      <c r="J16" s="505"/>
      <c r="K16" s="505"/>
      <c r="L16" s="505"/>
      <c r="M16" s="505"/>
      <c r="N16" s="505"/>
      <c r="O16" s="506"/>
    </row>
    <row r="17" spans="2:18" outlineLevel="1">
      <c r="B17" s="476" t="s">
        <v>1240</v>
      </c>
      <c r="C17" s="472"/>
      <c r="D17" s="472"/>
      <c r="E17" s="472"/>
      <c r="F17" s="472"/>
      <c r="G17" s="479"/>
      <c r="I17" s="504" t="s">
        <v>1272</v>
      </c>
      <c r="J17" s="505"/>
      <c r="K17" s="533" t="e">
        <f>(K9*0.78+L9*1+M9*1.64+N9*2.31+O9*2.6)/I9*100</f>
        <v>#DIV/0!</v>
      </c>
      <c r="L17" s="505"/>
      <c r="M17" s="505"/>
      <c r="N17" s="505"/>
      <c r="O17" s="506"/>
    </row>
    <row r="18" spans="2:18" outlineLevel="1">
      <c r="B18" s="474"/>
      <c r="C18" s="472"/>
      <c r="D18" s="472"/>
      <c r="E18" s="472"/>
      <c r="F18" s="472"/>
      <c r="G18" s="475"/>
      <c r="I18" s="504" t="s">
        <v>1273</v>
      </c>
      <c r="J18" s="505"/>
      <c r="K18" s="505" t="str">
        <f>IF(ISNUMBER(Ergebnis!H12),Ergebnis!H12,"")</f>
        <v/>
      </c>
      <c r="L18" s="505"/>
      <c r="M18" s="505"/>
      <c r="N18" s="505"/>
      <c r="O18" s="506"/>
    </row>
    <row r="19" spans="2:18" outlineLevel="1">
      <c r="B19" s="474"/>
      <c r="C19" s="472" t="s">
        <v>1201</v>
      </c>
      <c r="D19" s="472"/>
      <c r="E19" s="472"/>
      <c r="F19" s="472" t="s">
        <v>1198</v>
      </c>
      <c r="G19" s="493"/>
      <c r="I19" s="504"/>
      <c r="J19" s="505"/>
      <c r="K19" s="505"/>
      <c r="L19" s="505"/>
      <c r="M19" s="505"/>
      <c r="N19" s="505"/>
      <c r="O19" s="506"/>
    </row>
    <row r="20" spans="2:18" ht="15" outlineLevel="1">
      <c r="B20" s="474"/>
      <c r="C20" s="472"/>
      <c r="D20" s="472"/>
      <c r="E20" s="472"/>
      <c r="F20" s="472" t="s">
        <v>1199</v>
      </c>
      <c r="G20" s="480">
        <f>G19*12</f>
        <v>0</v>
      </c>
      <c r="I20" s="504"/>
      <c r="J20" s="505"/>
      <c r="K20" s="505"/>
      <c r="L20" s="505"/>
      <c r="M20" s="505"/>
      <c r="N20" s="505"/>
      <c r="O20" s="506"/>
    </row>
    <row r="21" spans="2:18" outlineLevel="1">
      <c r="B21" s="474"/>
      <c r="C21" s="472"/>
      <c r="D21" s="472"/>
      <c r="E21" s="472"/>
      <c r="F21" s="472"/>
      <c r="G21" s="475"/>
      <c r="I21" s="504"/>
      <c r="J21" s="505"/>
      <c r="K21" s="505"/>
      <c r="L21" s="505"/>
      <c r="M21" s="505"/>
      <c r="N21" s="505"/>
      <c r="O21" s="506"/>
    </row>
    <row r="22" spans="2:18" outlineLevel="1">
      <c r="B22" s="474"/>
      <c r="C22" s="472" t="s">
        <v>1200</v>
      </c>
      <c r="D22" s="472"/>
      <c r="E22" s="472"/>
      <c r="F22" s="472" t="s">
        <v>1198</v>
      </c>
      <c r="G22" s="493"/>
      <c r="I22" s="504"/>
      <c r="J22" s="505"/>
      <c r="K22" s="505"/>
      <c r="L22" s="505"/>
      <c r="M22" s="505"/>
      <c r="N22" s="505"/>
      <c r="O22" s="506"/>
    </row>
    <row r="23" spans="2:18" ht="15" outlineLevel="1">
      <c r="B23" s="474"/>
      <c r="C23" s="472"/>
      <c r="D23" s="472"/>
      <c r="E23" s="472"/>
      <c r="F23" s="472" t="s">
        <v>1199</v>
      </c>
      <c r="G23" s="481">
        <f>G22*12</f>
        <v>0</v>
      </c>
      <c r="I23" s="504"/>
      <c r="J23" s="505"/>
      <c r="K23" s="505"/>
      <c r="L23" s="505"/>
      <c r="M23" s="505"/>
      <c r="N23" s="505"/>
      <c r="O23" s="506"/>
    </row>
    <row r="24" spans="2:18" outlineLevel="1">
      <c r="B24" s="474"/>
      <c r="C24" s="482"/>
      <c r="D24" s="482"/>
      <c r="E24" s="472"/>
      <c r="F24" s="472"/>
      <c r="G24" s="475"/>
      <c r="I24" s="504"/>
      <c r="J24" s="505"/>
      <c r="K24" s="505"/>
      <c r="L24" s="505"/>
      <c r="M24" s="505"/>
      <c r="N24" s="505"/>
      <c r="O24" s="506"/>
    </row>
    <row r="25" spans="2:18" outlineLevel="1">
      <c r="B25" s="474"/>
      <c r="C25" s="472" t="s">
        <v>1245</v>
      </c>
      <c r="D25" s="472"/>
      <c r="E25" s="472"/>
      <c r="F25" s="472" t="s">
        <v>1246</v>
      </c>
      <c r="G25" s="494"/>
      <c r="I25" s="504"/>
      <c r="J25" s="505"/>
      <c r="K25" s="505"/>
      <c r="L25" s="505"/>
      <c r="M25" s="505"/>
      <c r="N25" s="505"/>
      <c r="O25" s="506"/>
    </row>
    <row r="26" spans="2:18" outlineLevel="1">
      <c r="B26" s="474"/>
      <c r="C26" s="472"/>
      <c r="D26" s="472"/>
      <c r="E26" s="472"/>
      <c r="F26" s="472" t="s">
        <v>1241</v>
      </c>
      <c r="G26" s="495"/>
      <c r="I26" s="504"/>
      <c r="J26" s="505"/>
      <c r="K26" s="505"/>
      <c r="L26" s="505"/>
      <c r="M26" s="505"/>
      <c r="N26" s="505"/>
      <c r="O26" s="506"/>
      <c r="R26" s="532"/>
    </row>
    <row r="27" spans="2:18" ht="15.75" outlineLevel="1">
      <c r="B27" s="483"/>
      <c r="C27" s="484"/>
      <c r="D27" s="485"/>
      <c r="E27" s="485"/>
      <c r="F27" s="485"/>
      <c r="G27" s="486">
        <f>G25*G26</f>
        <v>0</v>
      </c>
      <c r="I27" s="504"/>
      <c r="J27" s="505"/>
      <c r="K27" s="505"/>
      <c r="L27" s="505"/>
      <c r="M27" s="505"/>
      <c r="N27" s="505"/>
      <c r="O27" s="506"/>
    </row>
    <row r="28" spans="2:18">
      <c r="B28" s="474"/>
      <c r="C28" s="472"/>
      <c r="D28" s="472"/>
      <c r="E28" s="472"/>
      <c r="F28" s="472"/>
      <c r="G28" s="487"/>
      <c r="I28" s="504"/>
      <c r="J28" s="505"/>
      <c r="K28" s="505"/>
      <c r="L28" s="505"/>
      <c r="M28" s="505"/>
      <c r="N28" s="505"/>
      <c r="O28" s="506"/>
    </row>
    <row r="29" spans="2:18" outlineLevel="1">
      <c r="B29" s="471" t="s">
        <v>1265</v>
      </c>
      <c r="C29" s="472"/>
      <c r="D29" s="472"/>
      <c r="E29" s="472"/>
      <c r="F29" s="472"/>
      <c r="G29" s="477">
        <f>IF(ISBLANK(G33),SUM(G39,G42,G46),G33)</f>
        <v>0</v>
      </c>
      <c r="I29" s="504"/>
      <c r="J29" s="505"/>
      <c r="K29" s="505"/>
      <c r="L29" s="505"/>
      <c r="M29" s="505"/>
      <c r="N29" s="505"/>
      <c r="O29" s="506"/>
    </row>
    <row r="30" spans="2:18">
      <c r="B30" s="474"/>
      <c r="C30" s="472"/>
      <c r="D30" s="472"/>
      <c r="E30" s="472"/>
      <c r="F30" s="472"/>
      <c r="G30" s="487"/>
      <c r="I30" s="504"/>
      <c r="J30" s="505"/>
      <c r="K30" s="505"/>
      <c r="L30" s="505"/>
      <c r="M30" s="505"/>
      <c r="N30" s="505"/>
      <c r="O30" s="506"/>
    </row>
    <row r="31" spans="2:18" outlineLevel="1">
      <c r="B31" s="476" t="s">
        <v>1266</v>
      </c>
      <c r="C31" s="472"/>
      <c r="D31" s="472"/>
      <c r="E31" s="472"/>
      <c r="F31" s="472"/>
      <c r="G31" s="487"/>
      <c r="I31" s="504"/>
      <c r="J31" s="505"/>
      <c r="K31" s="505"/>
      <c r="L31" s="505"/>
      <c r="M31" s="505"/>
      <c r="N31" s="505"/>
      <c r="O31" s="506"/>
    </row>
    <row r="32" spans="2:18" outlineLevel="1">
      <c r="B32" s="474"/>
      <c r="C32" s="472"/>
      <c r="D32" s="472"/>
      <c r="E32" s="472"/>
      <c r="F32" s="472"/>
      <c r="G32" s="487"/>
      <c r="I32" s="504"/>
      <c r="J32" s="505"/>
      <c r="K32" s="505"/>
      <c r="L32" s="505"/>
      <c r="M32" s="505"/>
      <c r="N32" s="505"/>
      <c r="O32" s="506"/>
    </row>
    <row r="33" spans="2:15" outlineLevel="1">
      <c r="B33" s="474"/>
      <c r="C33" s="472" t="s">
        <v>91</v>
      </c>
      <c r="D33" s="472"/>
      <c r="E33" s="472"/>
      <c r="F33" s="472"/>
      <c r="G33" s="492"/>
      <c r="I33" s="504"/>
      <c r="J33" s="505"/>
      <c r="K33" s="505"/>
      <c r="L33" s="505"/>
      <c r="M33" s="505"/>
      <c r="N33" s="505"/>
      <c r="O33" s="506"/>
    </row>
    <row r="34" spans="2:15">
      <c r="B34" s="474"/>
      <c r="C34" s="472"/>
      <c r="D34" s="472"/>
      <c r="E34" s="472"/>
      <c r="F34" s="472"/>
      <c r="G34" s="478"/>
      <c r="I34" s="504"/>
      <c r="J34" s="505"/>
      <c r="K34" s="505"/>
      <c r="L34" s="505"/>
      <c r="M34" s="505"/>
      <c r="N34" s="505"/>
      <c r="O34" s="506"/>
    </row>
    <row r="35" spans="2:15">
      <c r="B35" s="474"/>
      <c r="C35" s="472"/>
      <c r="D35" s="472"/>
      <c r="E35" s="472"/>
      <c r="F35" s="472"/>
      <c r="G35" s="487"/>
      <c r="I35" s="504"/>
      <c r="J35" s="505"/>
      <c r="K35" s="505"/>
      <c r="L35" s="505"/>
      <c r="M35" s="505"/>
      <c r="N35" s="505"/>
      <c r="O35" s="506"/>
    </row>
    <row r="36" spans="2:15" outlineLevel="1">
      <c r="B36" s="476" t="s">
        <v>1267</v>
      </c>
      <c r="C36" s="472"/>
      <c r="D36" s="472"/>
      <c r="E36" s="472"/>
      <c r="F36" s="472"/>
      <c r="G36" s="487"/>
      <c r="I36" s="504"/>
      <c r="J36" s="505"/>
      <c r="K36" s="505"/>
      <c r="L36" s="505"/>
      <c r="M36" s="505"/>
      <c r="N36" s="505"/>
      <c r="O36" s="506"/>
    </row>
    <row r="37" spans="2:15" outlineLevel="1">
      <c r="B37" s="474"/>
      <c r="C37" s="472"/>
      <c r="D37" s="472"/>
      <c r="E37" s="472"/>
      <c r="F37" s="472"/>
      <c r="G37" s="487"/>
      <c r="I37" s="504"/>
      <c r="J37" s="505"/>
      <c r="K37" s="505"/>
      <c r="L37" s="505"/>
      <c r="M37" s="505"/>
      <c r="N37" s="505"/>
      <c r="O37" s="506"/>
    </row>
    <row r="38" spans="2:15" outlineLevel="1">
      <c r="B38" s="474"/>
      <c r="C38" s="472" t="s">
        <v>1268</v>
      </c>
      <c r="D38" s="472"/>
      <c r="E38" s="472"/>
      <c r="F38" s="472" t="s">
        <v>1198</v>
      </c>
      <c r="G38" s="493"/>
      <c r="I38" s="504"/>
      <c r="J38" s="505"/>
      <c r="K38" s="505"/>
      <c r="L38" s="505"/>
      <c r="M38" s="505"/>
      <c r="N38" s="505"/>
      <c r="O38" s="506"/>
    </row>
    <row r="39" spans="2:15" ht="15" outlineLevel="1">
      <c r="B39" s="474"/>
      <c r="C39" s="472"/>
      <c r="D39" s="472"/>
      <c r="E39" s="472"/>
      <c r="F39" s="472" t="s">
        <v>1199</v>
      </c>
      <c r="G39" s="480">
        <f>G38*12</f>
        <v>0</v>
      </c>
      <c r="I39" s="504"/>
      <c r="J39" s="505"/>
      <c r="K39" s="505"/>
      <c r="L39" s="505"/>
      <c r="M39" s="505"/>
      <c r="N39" s="505"/>
      <c r="O39" s="506"/>
    </row>
    <row r="40" spans="2:15" outlineLevel="1">
      <c r="B40" s="474"/>
      <c r="C40" s="472"/>
      <c r="D40" s="472"/>
      <c r="E40" s="472"/>
      <c r="F40" s="472"/>
      <c r="G40" s="475"/>
      <c r="I40" s="504"/>
      <c r="J40" s="505"/>
      <c r="K40" s="505"/>
      <c r="L40" s="505"/>
      <c r="M40" s="505"/>
      <c r="N40" s="505"/>
      <c r="O40" s="506"/>
    </row>
    <row r="41" spans="2:15" outlineLevel="1">
      <c r="B41" s="474"/>
      <c r="C41" s="472" t="s">
        <v>1200</v>
      </c>
      <c r="D41" s="472"/>
      <c r="E41" s="472"/>
      <c r="F41" s="472" t="s">
        <v>1198</v>
      </c>
      <c r="G41" s="493"/>
      <c r="I41" s="504"/>
      <c r="J41" s="505"/>
      <c r="K41" s="505"/>
      <c r="L41" s="505"/>
      <c r="M41" s="505"/>
      <c r="N41" s="505"/>
      <c r="O41" s="506"/>
    </row>
    <row r="42" spans="2:15" ht="15" outlineLevel="1">
      <c r="B42" s="474"/>
      <c r="C42" s="472"/>
      <c r="D42" s="472"/>
      <c r="E42" s="472"/>
      <c r="F42" s="472" t="s">
        <v>1199</v>
      </c>
      <c r="G42" s="481">
        <f>G41*12</f>
        <v>0</v>
      </c>
      <c r="I42" s="504"/>
      <c r="J42" s="505"/>
      <c r="K42" s="505"/>
      <c r="L42" s="505"/>
      <c r="M42" s="505"/>
      <c r="N42" s="505"/>
      <c r="O42" s="506"/>
    </row>
    <row r="43" spans="2:15" outlineLevel="1">
      <c r="B43" s="474"/>
      <c r="C43" s="482"/>
      <c r="D43" s="482"/>
      <c r="E43" s="472"/>
      <c r="F43" s="472"/>
      <c r="G43" s="475"/>
      <c r="I43" s="504"/>
      <c r="J43" s="505"/>
      <c r="K43" s="505"/>
      <c r="L43" s="505"/>
      <c r="M43" s="505"/>
      <c r="N43" s="505"/>
      <c r="O43" s="506"/>
    </row>
    <row r="44" spans="2:15" outlineLevel="1">
      <c r="B44" s="474"/>
      <c r="C44" s="472" t="s">
        <v>1269</v>
      </c>
      <c r="D44" s="472"/>
      <c r="E44" s="472"/>
      <c r="F44" s="472" t="s">
        <v>1270</v>
      </c>
      <c r="G44" s="494"/>
      <c r="I44" s="504"/>
      <c r="J44" s="505"/>
      <c r="K44" s="505"/>
      <c r="L44" s="505"/>
      <c r="M44" s="505"/>
      <c r="N44" s="505"/>
      <c r="O44" s="506"/>
    </row>
    <row r="45" spans="2:15" outlineLevel="1">
      <c r="B45" s="474"/>
      <c r="C45" s="472"/>
      <c r="D45" s="472"/>
      <c r="E45" s="472"/>
      <c r="F45" s="472" t="s">
        <v>1271</v>
      </c>
      <c r="G45" s="495"/>
      <c r="I45" s="504"/>
      <c r="J45" s="505"/>
      <c r="K45" s="505"/>
      <c r="L45" s="505"/>
      <c r="M45" s="505"/>
      <c r="N45" s="505"/>
      <c r="O45" s="506"/>
    </row>
    <row r="46" spans="2:15" outlineLevel="1">
      <c r="B46" s="474"/>
      <c r="C46" s="472"/>
      <c r="D46" s="472"/>
      <c r="E46" s="472"/>
      <c r="F46" s="472"/>
      <c r="G46" s="486">
        <f>G44*G45</f>
        <v>0</v>
      </c>
      <c r="I46" s="504"/>
      <c r="J46" s="505"/>
      <c r="K46" s="505"/>
      <c r="L46" s="505"/>
      <c r="M46" s="505"/>
      <c r="N46" s="505"/>
      <c r="O46" s="506"/>
    </row>
    <row r="47" spans="2:15">
      <c r="B47" s="474"/>
      <c r="C47" s="472"/>
      <c r="D47" s="472"/>
      <c r="E47" s="472"/>
      <c r="F47" s="472"/>
      <c r="G47" s="487"/>
      <c r="I47" s="504"/>
      <c r="J47" s="505"/>
      <c r="K47" s="505"/>
      <c r="L47" s="505"/>
      <c r="M47" s="505"/>
      <c r="N47" s="505"/>
      <c r="O47" s="506"/>
    </row>
    <row r="48" spans="2:15">
      <c r="B48" s="474"/>
      <c r="C48" s="472"/>
      <c r="D48" s="472"/>
      <c r="E48" s="472"/>
      <c r="F48" s="472"/>
      <c r="G48" s="487"/>
      <c r="I48" s="504"/>
      <c r="J48" s="505"/>
      <c r="K48" s="505"/>
      <c r="L48" s="505"/>
      <c r="M48" s="505"/>
      <c r="N48" s="505"/>
      <c r="O48" s="506"/>
    </row>
    <row r="49" spans="2:15">
      <c r="B49" s="488" t="s">
        <v>1242</v>
      </c>
      <c r="C49" s="472"/>
      <c r="D49" s="472"/>
      <c r="E49" s="472"/>
      <c r="F49" s="472"/>
      <c r="G49" s="496" t="e">
        <f>IF(G10=0,G8/G29-1,G8/G10-1)</f>
        <v>#VALUE!</v>
      </c>
      <c r="I49" s="504" t="s">
        <v>1250</v>
      </c>
      <c r="J49" s="505"/>
      <c r="K49" s="515" t="e">
        <f>IF(ISNUMBER(Ergebnis!B78),((Ergebnis!B78-K12)/I10)/((K13-K12)/I10),"")-1</f>
        <v>#VALUE!</v>
      </c>
      <c r="L49" s="505"/>
      <c r="M49" s="505"/>
      <c r="N49" s="505"/>
      <c r="O49" s="506"/>
    </row>
    <row r="50" spans="2:15">
      <c r="B50" s="488"/>
      <c r="C50" s="472"/>
      <c r="D50" s="472"/>
      <c r="E50" s="472"/>
      <c r="F50" s="472"/>
      <c r="G50" s="487"/>
      <c r="I50" s="504"/>
      <c r="J50" s="505"/>
      <c r="K50" s="505"/>
      <c r="L50" s="505"/>
      <c r="M50" s="505"/>
      <c r="N50" s="505"/>
      <c r="O50" s="506"/>
    </row>
    <row r="51" spans="2:15">
      <c r="B51" s="488" t="s">
        <v>1251</v>
      </c>
      <c r="C51" s="472"/>
      <c r="D51" s="472"/>
      <c r="E51" s="472"/>
      <c r="F51" s="472"/>
      <c r="G51" s="496" t="e">
        <f>Ergebnis!I70-Budgetveränderungswert!G49</f>
        <v>#VALUE!</v>
      </c>
      <c r="I51" s="504" t="s">
        <v>1252</v>
      </c>
      <c r="J51" s="505"/>
      <c r="K51" s="515" t="e">
        <f>((Ergebnis!B82/'Copy &amp; Paste'!F33)-K49)-1</f>
        <v>#VALUE!</v>
      </c>
      <c r="L51" s="505"/>
      <c r="M51" s="505"/>
      <c r="N51" s="505"/>
      <c r="O51" s="506"/>
    </row>
    <row r="52" spans="2:15">
      <c r="B52" s="489"/>
      <c r="C52" s="490"/>
      <c r="D52" s="490"/>
      <c r="E52" s="490"/>
      <c r="F52" s="490"/>
      <c r="G52" s="491"/>
      <c r="I52" s="516"/>
      <c r="J52" s="517"/>
      <c r="K52" s="517"/>
      <c r="L52" s="517"/>
      <c r="M52" s="517"/>
      <c r="N52" s="517"/>
      <c r="O52" s="491"/>
    </row>
    <row r="55" spans="2:15">
      <c r="B55" s="466" t="s">
        <v>1323</v>
      </c>
    </row>
    <row r="57" spans="2:15">
      <c r="B57" s="536">
        <f>'Copy &amp; Paste'!F72/(365*0.85)/100</f>
        <v>0</v>
      </c>
    </row>
  </sheetData>
  <mergeCells count="3">
    <mergeCell ref="B2:G2"/>
    <mergeCell ref="B5:G5"/>
    <mergeCell ref="I5:O5"/>
  </mergeCells>
  <conditionalFormatting sqref="G8 G14 G19 G22 G25:G26 K13">
    <cfRule type="containsErrors" dxfId="149" priority="19">
      <formula>ISERROR(G8)</formula>
    </cfRule>
  </conditionalFormatting>
  <conditionalFormatting sqref="G8 G14 G19 G22 G25:G26 K13">
    <cfRule type="cellIs" dxfId="148" priority="18" operator="equal">
      <formula>0</formula>
    </cfRule>
  </conditionalFormatting>
  <conditionalFormatting sqref="G10 G20 G23 G27">
    <cfRule type="cellIs" dxfId="147" priority="16" operator="equal">
      <formula>0</formula>
    </cfRule>
    <cfRule type="containsErrors" dxfId="146" priority="17">
      <formula>ISERROR(G10)</formula>
    </cfRule>
  </conditionalFormatting>
  <conditionalFormatting sqref="G49 G51">
    <cfRule type="cellIs" dxfId="145" priority="14" operator="equal">
      <formula>0</formula>
    </cfRule>
    <cfRule type="containsErrors" dxfId="144" priority="15">
      <formula>ISERROR(G49)</formula>
    </cfRule>
  </conditionalFormatting>
  <conditionalFormatting sqref="K49 K51">
    <cfRule type="containsErrors" dxfId="143" priority="12">
      <formula>ISERROR(K49)</formula>
    </cfRule>
    <cfRule type="cellIs" dxfId="142" priority="13" operator="equal">
      <formula>0</formula>
    </cfRule>
  </conditionalFormatting>
  <conditionalFormatting sqref="G33">
    <cfRule type="containsErrors" dxfId="141" priority="11">
      <formula>ISERROR(G33)</formula>
    </cfRule>
  </conditionalFormatting>
  <conditionalFormatting sqref="G33">
    <cfRule type="cellIs" dxfId="140" priority="10" operator="equal">
      <formula>0</formula>
    </cfRule>
  </conditionalFormatting>
  <conditionalFormatting sqref="G38 G41 G44:G45">
    <cfRule type="containsErrors" dxfId="139" priority="9">
      <formula>ISERROR(G38)</formula>
    </cfRule>
  </conditionalFormatting>
  <conditionalFormatting sqref="G38 G41 G44:G45">
    <cfRule type="cellIs" dxfId="138" priority="8" operator="equal">
      <formula>0</formula>
    </cfRule>
  </conditionalFormatting>
  <conditionalFormatting sqref="G39 G42">
    <cfRule type="cellIs" dxfId="137" priority="6" operator="equal">
      <formula>0</formula>
    </cfRule>
    <cfRule type="containsErrors" dxfId="136" priority="7">
      <formula>ISERROR(G39)</formula>
    </cfRule>
  </conditionalFormatting>
  <conditionalFormatting sqref="G46">
    <cfRule type="cellIs" dxfId="135" priority="4" operator="equal">
      <formula>0</formula>
    </cfRule>
    <cfRule type="containsErrors" dxfId="134" priority="5">
      <formula>ISERROR(G46)</formula>
    </cfRule>
  </conditionalFormatting>
  <conditionalFormatting sqref="G29">
    <cfRule type="cellIs" dxfId="133" priority="2" operator="equal">
      <formula>0</formula>
    </cfRule>
    <cfRule type="containsErrors" dxfId="132" priority="3">
      <formula>ISERROR(G29)</formula>
    </cfRule>
  </conditionalFormatting>
  <conditionalFormatting sqref="K17">
    <cfRule type="containsErrors" dxfId="131" priority="1">
      <formula>ISERROR(K17)</formula>
    </cfRule>
  </conditionalFormatting>
  <dataValidations count="12">
    <dataValidation allowBlank="1" showInputMessage="1" showErrorMessage="1" promptTitle="Berechnungstage" prompt="_x000a_Siehe &quot;∑ Berechnungstage&quot; auf dem Tabellenblatt &quot;Pauschal&quot;." sqref="G45"/>
    <dataValidation allowBlank="1" showInputMessage="1" showErrorMessage="1" promptTitle="Basiswert U &amp; V" prompt="_x000a_Gemeint ist der in 2017 fortgeschriebene Basiswert U &amp; V." sqref="G44"/>
    <dataValidation allowBlank="1" showInputMessage="1" showErrorMessage="1" promptTitle="Gesamtbudget letzte Verhandlung" prompt="_x000a_Siehe &quot;Gesamtsumme aller Kosten&quot; auf dem Tabellenblatt &quot;Ergebnis&quot;." sqref="G33"/>
    <dataValidation allowBlank="1" showInputMessage="1" showErrorMessage="1" promptTitle="Pflegebudget PG 2-5" prompt="_x000a_Siehe &quot;neu vereinbartes monatliches Pflegebudget (PG 2 - PG 5)&quot; auf dem Tabellenblatt &quot;Pauschal&quot;." sqref="G38"/>
    <dataValidation allowBlank="1" showInputMessage="1" showErrorMessage="1" promptTitle="Berechnungstage bei Überleitung" prompt="_x000a_Siehe &quot;Berechnungstage bei Netto-Auslastung&quot; auf dem Meldebogen." sqref="G26"/>
    <dataValidation allowBlank="1" showInputMessage="1" showErrorMessage="1" promptTitle="Basiswert U &amp; V zum 01.01.2017" prompt="_x000a_Siehe Meldebogen bzw. Vergütungsvereinbarungen ab 01.01.17." sqref="G25"/>
    <dataValidation allowBlank="1" showInputMessage="1" showErrorMessage="1" promptTitle="Pflegebudget Überleitung &quot;Alt 0&quot;" prompt="_x000a_Siehe &quot;Alt-Budget Stufe 0 ohne EA&quot; auf dem Tabellenblatt &quot;PSG II mit Alt 0&quot;._x000a_" sqref="G22 G41"/>
    <dataValidation allowBlank="1" showInputMessage="1" showErrorMessage="1" promptTitle="Pflegebudget Überleitung PG 2-5" prompt="_x000a_Siehe &quot;Einnahmen neu&quot; auf dem Tabellenblatt &quot;PSG II mit Alt 0&quot;." sqref="G19"/>
    <dataValidation allowBlank="1" showInputMessage="1" showErrorMessage="1" promptTitle="Gesamtbudget ab 01.01.2017" prompt="_x000a_Siehe &quot;Gesamtsumme aller Kosten&quot; auf dem Tabellenblatt &quot;Ergebnis ab 01.01.17&quot;." sqref="G14"/>
    <dataValidation allowBlank="1" showInputMessage="1" showErrorMessage="1" prompt="Tabellenblatt &quot;Überleitung!D46 - D50" sqref="K9"/>
    <dataValidation allowBlank="1" showInputMessage="1" showErrorMessage="1" prompt="Tabellenblatt &quot;PSG II mit &quot;Alt 0&quot;!C23 - I 23" sqref="K10"/>
    <dataValidation allowBlank="1" showInputMessage="1" showErrorMessage="1" prompt="Eingabe nur bei Überleitung _x000a_mit dem Kalkulationsschema _x000a_notwendig!_x000a_(&quot;Ergebnis ab 01.01.2017!B73&quot;)" sqref="K13"/>
  </dataValidations>
  <pageMargins left="0.70866141732283472" right="0.70866141732283472" top="0.78740157480314965" bottom="0.78740157480314965" header="0.31496062992125984" footer="0.31496062992125984"/>
  <pageSetup paperSize="9" scale="71" orientation="landscape"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7"/>
    <pageSetUpPr fitToPage="1"/>
  </sheetPr>
  <dimension ref="A1:Z81"/>
  <sheetViews>
    <sheetView zoomScale="89" zoomScaleNormal="89" workbookViewId="0">
      <selection activeCell="F1" sqref="F1"/>
    </sheetView>
  </sheetViews>
  <sheetFormatPr baseColWidth="10" defaultColWidth="11.42578125" defaultRowHeight="12.75"/>
  <cols>
    <col min="1" max="1" width="2.42578125" style="144" customWidth="1"/>
    <col min="2" max="2" width="38.7109375" style="144" customWidth="1"/>
    <col min="3" max="3" width="35.5703125" style="144" customWidth="1"/>
    <col min="4" max="4" width="25.7109375" style="144" customWidth="1"/>
    <col min="5" max="5" width="7.140625" style="144" hidden="1" customWidth="1"/>
    <col min="6" max="6" width="10.28515625" style="144" bestFit="1" customWidth="1"/>
    <col min="7" max="7" width="13.85546875" style="144" customWidth="1"/>
    <col min="8" max="9" width="13.28515625" style="144" customWidth="1"/>
    <col min="10" max="10" width="12.85546875" style="144" customWidth="1"/>
    <col min="11" max="11" width="13" style="144" bestFit="1" customWidth="1"/>
    <col min="12" max="15" width="11.42578125" style="144"/>
    <col min="16" max="16" width="14.85546875" style="144" bestFit="1" customWidth="1"/>
    <col min="17" max="16384" width="11.42578125" style="144"/>
  </cols>
  <sheetData>
    <row r="1" spans="1:26" ht="32.25" customHeight="1" thickBot="1">
      <c r="A1" s="139"/>
      <c r="B1" s="4705" t="s">
        <v>1446</v>
      </c>
      <c r="C1" s="4705"/>
      <c r="D1" s="4706"/>
      <c r="E1" s="140"/>
      <c r="F1" s="457" t="s">
        <v>1072</v>
      </c>
      <c r="G1" s="141" t="s">
        <v>1073</v>
      </c>
      <c r="H1" s="142"/>
      <c r="I1" s="142"/>
      <c r="J1" s="142"/>
      <c r="K1" s="143"/>
      <c r="L1" s="142"/>
      <c r="M1" s="142"/>
      <c r="N1" s="142"/>
      <c r="O1" s="142"/>
      <c r="P1" s="142"/>
      <c r="Q1" s="142"/>
      <c r="R1" s="2011" t="str">
        <f>CONCATENATE(C4,", ",C5,", ",C6," ",Ort_Einrichtung)</f>
        <v>0, 0, 0 0</v>
      </c>
      <c r="S1" s="142"/>
      <c r="T1" s="142"/>
      <c r="U1" s="142"/>
      <c r="V1" s="142"/>
      <c r="W1" s="142"/>
      <c r="X1" s="142"/>
      <c r="Y1" s="142"/>
      <c r="Z1" s="142"/>
    </row>
    <row r="2" spans="1:26" ht="21" customHeight="1" thickBot="1">
      <c r="A2" s="145"/>
      <c r="B2" s="4707" t="str">
        <f>" (stationäre Pflege) für die Zeit vom "&amp;TEXT('84 8 Vorbereitung'!K2,"TT.MM.JJJJ")&amp;" bis "&amp;TEXT('84 8 Vorbereitung'!K3,"TT.MM.JJJJ")&amp;" für "</f>
        <v xml:space="preserve"> (stationäre Pflege) für die Zeit vom 01.03.2025 bis 28.02.2026 für </v>
      </c>
      <c r="C2" s="4707"/>
      <c r="D2" s="4708"/>
      <c r="E2" s="146"/>
      <c r="F2" s="591">
        <v>0</v>
      </c>
      <c r="G2" s="147" t="s">
        <v>1074</v>
      </c>
      <c r="H2" s="142"/>
      <c r="I2" s="142"/>
      <c r="J2" s="142"/>
      <c r="K2" s="142"/>
      <c r="L2" s="142"/>
      <c r="M2" s="142"/>
      <c r="N2" s="142"/>
      <c r="O2" s="142"/>
      <c r="P2" s="142"/>
      <c r="Q2" s="142"/>
      <c r="R2" s="2012">
        <f>Ergebnis!K2</f>
        <v>0</v>
      </c>
      <c r="S2" s="142"/>
      <c r="T2" s="142"/>
      <c r="U2" s="142"/>
      <c r="V2" s="142"/>
      <c r="W2" s="142"/>
      <c r="X2" s="142"/>
      <c r="Y2" s="142"/>
      <c r="Z2" s="142"/>
    </row>
    <row r="3" spans="1:26" ht="9" customHeight="1" thickBot="1">
      <c r="A3" s="145"/>
      <c r="B3" s="148"/>
      <c r="C3" s="149"/>
      <c r="D3" s="146"/>
      <c r="E3" s="150"/>
      <c r="F3" s="2013" t="e">
        <f>('84 8 Nachweis'!K7-'84 8 Nachweis'!G7)/'84 8 Nachweis'!G7</f>
        <v>#VALUE!</v>
      </c>
      <c r="G3" s="142"/>
      <c r="H3" s="142"/>
      <c r="I3" s="142"/>
      <c r="J3" s="142"/>
      <c r="K3" s="142"/>
      <c r="L3" s="142"/>
      <c r="M3" s="142"/>
      <c r="N3" s="142"/>
      <c r="O3" s="142"/>
      <c r="P3" s="142"/>
      <c r="Q3" s="142"/>
      <c r="R3" s="2011" t="str">
        <f>IF('84 8 Übersicht'!F1="WL","claudia.sukale@bkk-nordwest.de;jutta.vehlow@ikk-classic.de;vertrag-pflege-nrw@knappschaft.de;petra.lips@svlfg.de;marc.luetkemeyer@nw.aok.de;wilhelm.rohe@vdek.com","claudia.sukale@bkk-nordwest.de;britta.meyer@ikk-classic.de;vertrag-pflege-nrw@knappschaft.de;petra.lips@svlfg.de;heimentgelte@rh.aok.de;verguetung-pflege.nrw@vdek.com;sebastian.huebner@nw.aok.de")</f>
        <v>claudia.sukale@bkk-nordwest.de;jutta.vehlow@ikk-classic.de;vertrag-pflege-nrw@knappschaft.de;petra.lips@svlfg.de;marc.luetkemeyer@nw.aok.de;wilhelm.rohe@vdek.com</v>
      </c>
      <c r="S3" s="142"/>
      <c r="T3" s="142"/>
      <c r="U3" s="142"/>
      <c r="V3" s="142"/>
      <c r="W3" s="142"/>
      <c r="X3" s="142"/>
      <c r="Y3" s="142"/>
      <c r="Z3" s="142"/>
    </row>
    <row r="4" spans="1:26" ht="19.5" customHeight="1">
      <c r="A4" s="145"/>
      <c r="B4" s="151" t="s">
        <v>1075</v>
      </c>
      <c r="C4" s="320">
        <f>'Copy &amp; Paste'!B5</f>
        <v>0</v>
      </c>
      <c r="D4" s="321"/>
      <c r="E4" s="152"/>
      <c r="F4" s="2014"/>
      <c r="G4" s="2015" t="s">
        <v>1076</v>
      </c>
      <c r="H4" s="142"/>
      <c r="I4" s="142"/>
      <c r="J4" s="2016"/>
      <c r="K4" s="142"/>
      <c r="L4" s="142"/>
      <c r="M4" s="142"/>
      <c r="N4" s="142"/>
      <c r="O4" s="142"/>
      <c r="P4" s="142"/>
      <c r="Q4" s="142"/>
      <c r="R4" s="2017"/>
      <c r="S4" s="142"/>
      <c r="T4" s="142"/>
      <c r="U4" s="142"/>
      <c r="V4" s="142"/>
      <c r="W4" s="142"/>
      <c r="X4" s="142"/>
      <c r="Y4" s="142"/>
      <c r="Z4" s="142"/>
    </row>
    <row r="5" spans="1:26" ht="19.5" customHeight="1">
      <c r="A5" s="145"/>
      <c r="B5" s="153" t="s">
        <v>1077</v>
      </c>
      <c r="C5" s="322">
        <f>'Copy &amp; Paste'!B7</f>
        <v>0</v>
      </c>
      <c r="D5" s="323"/>
      <c r="E5" s="152"/>
      <c r="F5" s="2018"/>
      <c r="G5" s="2019" t="s">
        <v>1263</v>
      </c>
      <c r="H5" s="142"/>
      <c r="I5" s="142"/>
      <c r="J5" s="2016"/>
      <c r="K5" s="142"/>
      <c r="L5" s="142"/>
      <c r="M5" s="142"/>
      <c r="N5" s="142"/>
      <c r="O5" s="142"/>
      <c r="P5" s="142"/>
      <c r="Q5" s="142"/>
      <c r="R5" s="154"/>
      <c r="S5" s="142"/>
      <c r="T5" s="142"/>
      <c r="U5" s="142"/>
      <c r="V5" s="142"/>
      <c r="W5" s="142"/>
      <c r="X5" s="142"/>
      <c r="Y5" s="142"/>
      <c r="Z5" s="142"/>
    </row>
    <row r="6" spans="1:26" ht="19.5" customHeight="1" thickBot="1">
      <c r="A6" s="145"/>
      <c r="B6" s="155" t="s">
        <v>1078</v>
      </c>
      <c r="C6" s="324">
        <f>'Copy &amp; Paste'!B8</f>
        <v>0</v>
      </c>
      <c r="D6" s="325">
        <f>'Copy &amp; Paste'!C8</f>
        <v>0</v>
      </c>
      <c r="E6" s="156"/>
      <c r="F6" s="2020"/>
      <c r="G6" s="2021"/>
      <c r="H6" s="142"/>
      <c r="I6" s="142"/>
      <c r="J6" s="2016"/>
      <c r="K6" s="142"/>
      <c r="L6" s="142"/>
      <c r="M6" s="142"/>
      <c r="N6" s="142"/>
      <c r="O6" s="142"/>
      <c r="P6" s="142"/>
      <c r="Q6" s="142"/>
      <c r="R6" s="154"/>
      <c r="S6" s="142"/>
      <c r="T6" s="142"/>
      <c r="U6" s="142"/>
      <c r="V6" s="142"/>
      <c r="W6" s="142"/>
      <c r="X6" s="142"/>
      <c r="Y6" s="142"/>
      <c r="Z6" s="142"/>
    </row>
    <row r="7" spans="1:26" ht="13.5" customHeight="1" thickBot="1">
      <c r="A7" s="145"/>
      <c r="B7" s="149"/>
      <c r="C7" s="157"/>
      <c r="D7" s="150"/>
      <c r="E7" s="156"/>
      <c r="F7" s="142"/>
      <c r="G7" s="142"/>
      <c r="H7" s="142"/>
      <c r="I7" s="142"/>
      <c r="J7" s="142"/>
      <c r="K7" s="142"/>
      <c r="L7" s="142"/>
      <c r="M7" s="142"/>
      <c r="N7" s="142"/>
      <c r="O7" s="142"/>
      <c r="P7" s="142"/>
      <c r="Q7" s="142"/>
      <c r="R7" s="154"/>
      <c r="S7" s="142"/>
      <c r="T7" s="142"/>
      <c r="U7" s="142"/>
      <c r="V7" s="142"/>
      <c r="W7" s="142"/>
      <c r="X7" s="142"/>
      <c r="Y7" s="142"/>
      <c r="Z7" s="142"/>
    </row>
    <row r="8" spans="1:26" ht="19.5" customHeight="1">
      <c r="A8" s="145"/>
      <c r="B8" s="151" t="s">
        <v>1079</v>
      </c>
      <c r="C8" s="320">
        <f>'Copy &amp; Paste'!E5</f>
        <v>0</v>
      </c>
      <c r="D8" s="321"/>
      <c r="E8" s="156"/>
      <c r="F8" s="142"/>
      <c r="G8" s="142"/>
      <c r="H8" s="142"/>
      <c r="I8" s="142"/>
      <c r="J8" s="142"/>
      <c r="K8" s="142"/>
      <c r="L8" s="142"/>
      <c r="M8" s="142"/>
      <c r="N8" s="142"/>
      <c r="O8" s="142"/>
      <c r="P8" s="142"/>
      <c r="Q8" s="142"/>
      <c r="R8" s="154"/>
      <c r="S8" s="142"/>
      <c r="T8" s="142"/>
      <c r="U8" s="142"/>
      <c r="V8" s="142"/>
      <c r="W8" s="142"/>
      <c r="X8" s="142"/>
      <c r="Y8" s="142"/>
      <c r="Z8" s="142"/>
    </row>
    <row r="9" spans="1:26" ht="19.5" customHeight="1">
      <c r="A9" s="145"/>
      <c r="B9" s="153" t="s">
        <v>1080</v>
      </c>
      <c r="C9" s="322">
        <f>'Copy &amp; Paste'!E7</f>
        <v>0</v>
      </c>
      <c r="D9" s="323"/>
      <c r="E9" s="156"/>
      <c r="F9" s="142"/>
      <c r="G9" s="142"/>
      <c r="H9" s="142"/>
      <c r="I9" s="142"/>
      <c r="J9" s="142"/>
      <c r="K9" s="142"/>
      <c r="L9" s="142"/>
      <c r="M9" s="142"/>
      <c r="N9" s="142"/>
      <c r="O9" s="142"/>
      <c r="P9" s="142"/>
      <c r="Q9" s="142"/>
      <c r="R9" s="142"/>
      <c r="S9" s="142"/>
      <c r="T9" s="142"/>
      <c r="U9" s="142"/>
      <c r="V9" s="142"/>
      <c r="W9" s="142"/>
      <c r="X9" s="142"/>
      <c r="Y9" s="142"/>
      <c r="Z9" s="142"/>
    </row>
    <row r="10" spans="1:26" ht="19.5" customHeight="1" thickBot="1">
      <c r="A10" s="145"/>
      <c r="B10" s="155" t="s">
        <v>1081</v>
      </c>
      <c r="C10" s="324">
        <f>'Copy &amp; Paste'!E8</f>
        <v>0</v>
      </c>
      <c r="D10" s="325">
        <f>'Copy &amp; Paste'!F8</f>
        <v>0</v>
      </c>
      <c r="E10" s="156"/>
      <c r="F10" s="142"/>
      <c r="G10" s="142"/>
      <c r="H10" s="142"/>
      <c r="I10" s="142"/>
      <c r="J10" s="142"/>
      <c r="K10" s="142"/>
      <c r="L10" s="142"/>
      <c r="M10" s="142"/>
      <c r="N10" s="142"/>
      <c r="O10" s="142"/>
      <c r="P10" s="142"/>
      <c r="Q10" s="142"/>
      <c r="R10" s="142"/>
      <c r="S10" s="142"/>
      <c r="T10" s="142"/>
      <c r="U10" s="142"/>
      <c r="V10" s="142"/>
      <c r="W10" s="142"/>
      <c r="X10" s="142"/>
      <c r="Y10" s="142"/>
      <c r="Z10" s="142"/>
    </row>
    <row r="11" spans="1:26" ht="13.5" customHeight="1" thickBot="1">
      <c r="A11" s="145"/>
      <c r="B11" s="149"/>
      <c r="C11" s="157"/>
      <c r="D11" s="158" t="s">
        <v>1082</v>
      </c>
      <c r="E11" s="156"/>
      <c r="F11" s="142"/>
      <c r="G11" s="142"/>
      <c r="H11" s="142"/>
      <c r="I11" s="142"/>
      <c r="J11" s="142"/>
      <c r="K11" s="142"/>
      <c r="L11" s="142"/>
      <c r="M11" s="142"/>
      <c r="N11" s="142"/>
      <c r="O11" s="142"/>
      <c r="P11" s="142"/>
      <c r="Q11" s="142"/>
      <c r="R11" s="142"/>
      <c r="S11" s="142"/>
      <c r="T11" s="142"/>
      <c r="U11" s="142"/>
      <c r="V11" s="142"/>
      <c r="W11" s="142"/>
      <c r="X11" s="142"/>
      <c r="Y11" s="142"/>
      <c r="Z11" s="142"/>
    </row>
    <row r="12" spans="1:26" s="142" customFormat="1" ht="19.5" customHeight="1" thickBot="1">
      <c r="A12" s="145"/>
      <c r="B12" s="159" t="s">
        <v>834</v>
      </c>
      <c r="C12" s="326">
        <f>IK</f>
        <v>0</v>
      </c>
      <c r="D12" s="405">
        <f>'Copy &amp; Paste'!G10</f>
        <v>0</v>
      </c>
      <c r="E12" s="156"/>
    </row>
    <row r="13" spans="1:26" ht="13.5" customHeight="1" thickBot="1">
      <c r="A13" s="145"/>
      <c r="B13" s="160"/>
      <c r="C13" s="160"/>
      <c r="D13" s="146"/>
      <c r="E13" s="146"/>
      <c r="F13" s="142"/>
      <c r="G13" s="142"/>
      <c r="H13" s="142"/>
      <c r="I13" s="142"/>
      <c r="J13" s="142"/>
      <c r="K13" s="142"/>
      <c r="L13" s="142"/>
      <c r="M13" s="142"/>
      <c r="N13" s="142"/>
      <c r="O13" s="142"/>
      <c r="P13" s="142"/>
      <c r="Q13" s="142"/>
      <c r="R13" s="142"/>
      <c r="S13" s="142"/>
      <c r="T13" s="142"/>
      <c r="U13" s="142"/>
      <c r="V13" s="142"/>
      <c r="W13" s="142"/>
      <c r="X13" s="142"/>
      <c r="Y13" s="142"/>
      <c r="Z13" s="142"/>
    </row>
    <row r="14" spans="1:26" ht="19.5" customHeight="1" thickBot="1">
      <c r="A14" s="145"/>
      <c r="B14" s="161" t="s">
        <v>1083</v>
      </c>
      <c r="C14" s="162"/>
      <c r="D14" s="327">
        <f>'Copy &amp; Paste'!H11</f>
        <v>0</v>
      </c>
      <c r="E14" s="146"/>
      <c r="F14" s="142"/>
      <c r="G14" s="163" t="str">
        <f>IF(D17="ja","Platzzahl/90 %","Platzahl/98 %")</f>
        <v>Platzahl/98 %</v>
      </c>
      <c r="H14" s="164" t="s">
        <v>1084</v>
      </c>
      <c r="I14" s="2016"/>
      <c r="J14" s="142"/>
      <c r="K14" s="142"/>
      <c r="L14" s="142"/>
      <c r="M14" s="142"/>
      <c r="N14" s="142"/>
      <c r="O14" s="142"/>
      <c r="P14" s="142"/>
      <c r="Q14" s="142"/>
      <c r="R14" s="142"/>
      <c r="S14" s="142"/>
      <c r="T14" s="142"/>
      <c r="U14" s="142"/>
      <c r="V14" s="142"/>
      <c r="W14" s="142"/>
      <c r="X14" s="142"/>
      <c r="Y14" s="142"/>
      <c r="Z14" s="142"/>
    </row>
    <row r="15" spans="1:26" ht="19.5" customHeight="1" thickBot="1">
      <c r="A15" s="145"/>
      <c r="B15" s="165" t="s">
        <v>1452</v>
      </c>
      <c r="C15" s="166"/>
      <c r="D15" s="407"/>
      <c r="E15" s="146"/>
      <c r="F15" s="142"/>
      <c r="G15" s="359">
        <f>IF(D17="ja",(D14/100)*90,(D14/100)*98)</f>
        <v>0</v>
      </c>
      <c r="H15" s="167" t="e">
        <f>D15/D14</f>
        <v>#DIV/0!</v>
      </c>
      <c r="I15" s="142"/>
      <c r="J15" s="142"/>
      <c r="K15" s="142"/>
      <c r="L15" s="142"/>
      <c r="M15" s="142"/>
      <c r="N15" s="142"/>
      <c r="O15" s="142"/>
      <c r="P15" s="142"/>
      <c r="Q15" s="142"/>
      <c r="R15" s="142"/>
      <c r="S15" s="142"/>
      <c r="T15" s="142"/>
      <c r="U15" s="142"/>
      <c r="V15" s="142"/>
      <c r="W15" s="142"/>
      <c r="X15" s="142"/>
      <c r="Y15" s="142"/>
      <c r="Z15" s="142"/>
    </row>
    <row r="16" spans="1:26" ht="19.5" customHeight="1">
      <c r="A16" s="145"/>
      <c r="B16" s="168" t="s">
        <v>1085</v>
      </c>
      <c r="C16" s="169"/>
      <c r="D16" s="328">
        <f>'Copy &amp; Paste'!H12</f>
        <v>0</v>
      </c>
      <c r="E16" s="146"/>
      <c r="F16" s="142"/>
      <c r="G16" s="170"/>
      <c r="H16" s="142"/>
      <c r="I16" s="142"/>
      <c r="J16" s="142"/>
      <c r="K16" s="142"/>
      <c r="L16" s="142"/>
      <c r="M16" s="142"/>
      <c r="N16" s="142"/>
      <c r="O16" s="142"/>
      <c r="P16" s="142"/>
      <c r="Q16" s="142"/>
      <c r="R16" s="142"/>
      <c r="S16" s="142"/>
      <c r="T16" s="142"/>
      <c r="U16" s="142"/>
      <c r="V16" s="142"/>
      <c r="W16" s="142"/>
      <c r="X16" s="142"/>
      <c r="Y16" s="142"/>
      <c r="Z16" s="142"/>
    </row>
    <row r="17" spans="1:26" ht="19.5" customHeight="1" thickBot="1">
      <c r="A17" s="145"/>
      <c r="B17" s="171" t="s">
        <v>1086</v>
      </c>
      <c r="C17" s="172"/>
      <c r="D17" s="408" t="s">
        <v>915</v>
      </c>
      <c r="E17" s="146"/>
      <c r="F17" s="142"/>
      <c r="G17" s="170"/>
      <c r="H17" s="142"/>
      <c r="I17" s="142"/>
      <c r="J17" s="142"/>
      <c r="K17" s="142"/>
      <c r="L17" s="142"/>
      <c r="M17" s="142"/>
      <c r="N17" s="142"/>
      <c r="O17" s="142"/>
      <c r="P17" s="142"/>
      <c r="Q17" s="142"/>
      <c r="R17" s="142"/>
      <c r="S17" s="142"/>
      <c r="T17" s="142"/>
      <c r="U17" s="142"/>
      <c r="V17" s="142"/>
      <c r="W17" s="142"/>
      <c r="X17" s="142"/>
      <c r="Y17" s="142"/>
      <c r="Z17" s="142"/>
    </row>
    <row r="18" spans="1:26" ht="13.5" customHeight="1" thickBot="1">
      <c r="A18" s="145"/>
      <c r="B18" s="160"/>
      <c r="C18" s="160"/>
      <c r="D18" s="146"/>
      <c r="E18" s="146"/>
      <c r="F18" s="142"/>
      <c r="G18" s="142"/>
      <c r="H18" s="142"/>
      <c r="I18" s="142"/>
      <c r="J18" s="142"/>
      <c r="K18" s="142"/>
      <c r="L18" s="142"/>
      <c r="M18" s="142"/>
      <c r="N18" s="142"/>
      <c r="O18" s="142"/>
      <c r="P18" s="142"/>
      <c r="Q18" s="142"/>
      <c r="R18" s="142"/>
      <c r="S18" s="142"/>
      <c r="T18" s="142"/>
      <c r="U18" s="142"/>
      <c r="V18" s="142"/>
      <c r="W18" s="142"/>
      <c r="X18" s="142"/>
      <c r="Y18" s="142"/>
      <c r="Z18" s="142"/>
    </row>
    <row r="19" spans="1:26" ht="19.5" customHeight="1">
      <c r="A19" s="145"/>
      <c r="B19" s="161" t="s">
        <v>1271</v>
      </c>
      <c r="C19" s="162"/>
      <c r="D19" s="357" t="str">
        <f>IF(D15="","",D15*365)</f>
        <v/>
      </c>
      <c r="E19" s="146"/>
      <c r="F19" s="142"/>
      <c r="G19" s="142"/>
      <c r="H19" s="142"/>
      <c r="I19" s="142"/>
      <c r="J19" s="142"/>
      <c r="K19" s="142"/>
      <c r="L19" s="142"/>
      <c r="M19" s="142"/>
      <c r="N19" s="142"/>
      <c r="O19" s="142"/>
      <c r="P19" s="142"/>
      <c r="Q19" s="142"/>
      <c r="R19" s="142"/>
      <c r="S19" s="142"/>
      <c r="T19" s="142"/>
      <c r="U19" s="142"/>
      <c r="V19" s="142"/>
      <c r="W19" s="142"/>
      <c r="X19" s="142"/>
      <c r="Y19" s="142"/>
      <c r="Z19" s="142"/>
    </row>
    <row r="20" spans="1:26" ht="19.5" customHeight="1">
      <c r="A20" s="145"/>
      <c r="B20" s="168" t="s">
        <v>1453</v>
      </c>
      <c r="C20" s="173"/>
      <c r="D20" s="358">
        <f>+D15*12</f>
        <v>0</v>
      </c>
      <c r="E20" s="146"/>
      <c r="F20" s="142"/>
      <c r="G20" s="142"/>
      <c r="H20" s="142"/>
      <c r="I20" s="142"/>
      <c r="J20" s="142"/>
      <c r="K20" s="142"/>
      <c r="L20" s="142"/>
      <c r="M20" s="142"/>
      <c r="N20" s="142"/>
      <c r="O20" s="142"/>
      <c r="P20" s="142"/>
      <c r="Q20" s="142"/>
      <c r="R20" s="142"/>
      <c r="S20" s="142"/>
      <c r="T20" s="142"/>
      <c r="U20" s="142"/>
      <c r="V20" s="142"/>
      <c r="W20" s="142"/>
      <c r="X20" s="142"/>
      <c r="Y20" s="142"/>
      <c r="Z20" s="142"/>
    </row>
    <row r="21" spans="1:26" ht="19.5" customHeight="1">
      <c r="A21" s="145"/>
      <c r="B21" s="168" t="s">
        <v>1454</v>
      </c>
      <c r="C21" s="174"/>
      <c r="D21" s="329">
        <v>20</v>
      </c>
      <c r="E21" s="146"/>
      <c r="F21" s="142"/>
      <c r="G21" s="142"/>
      <c r="H21" s="142"/>
      <c r="I21" s="142"/>
      <c r="J21" s="142"/>
      <c r="K21" s="142"/>
      <c r="L21" s="142"/>
      <c r="M21" s="142"/>
      <c r="N21" s="142"/>
      <c r="O21" s="142"/>
      <c r="P21" s="142"/>
      <c r="Q21" s="142"/>
      <c r="R21" s="142"/>
      <c r="S21" s="142"/>
      <c r="T21" s="142"/>
      <c r="U21" s="142"/>
      <c r="V21" s="142"/>
      <c r="W21" s="142"/>
      <c r="X21" s="142"/>
      <c r="Y21" s="142"/>
      <c r="Z21" s="142"/>
    </row>
    <row r="22" spans="1:26" ht="19.5" customHeight="1">
      <c r="A22" s="145"/>
      <c r="B22" s="168" t="s">
        <v>1455</v>
      </c>
      <c r="C22" s="174"/>
      <c r="D22" s="633">
        <f>IF(D21="","",ROUND(D15/D21,2))</f>
        <v>0</v>
      </c>
      <c r="E22" s="146"/>
      <c r="F22" s="142"/>
      <c r="G22" s="142"/>
      <c r="H22" s="142"/>
      <c r="I22" s="142"/>
      <c r="J22" s="142"/>
      <c r="K22" s="142"/>
      <c r="L22" s="142"/>
      <c r="M22" s="142"/>
      <c r="N22" s="142"/>
      <c r="O22" s="142"/>
      <c r="P22" s="142"/>
      <c r="Q22" s="142"/>
      <c r="R22" s="142"/>
      <c r="S22" s="142"/>
      <c r="T22" s="142"/>
      <c r="U22" s="142"/>
      <c r="V22" s="142"/>
      <c r="W22" s="142"/>
      <c r="X22" s="142"/>
      <c r="Y22" s="142"/>
      <c r="Z22" s="142"/>
    </row>
    <row r="23" spans="1:26" ht="19.5" customHeight="1" thickBot="1">
      <c r="A23" s="145"/>
      <c r="B23" s="168" t="s">
        <v>1087</v>
      </c>
      <c r="C23" s="174"/>
      <c r="D23" s="634" t="str">
        <f>'84 8 Nachweis'!M32</f>
        <v/>
      </c>
      <c r="E23" s="146"/>
      <c r="F23" s="142"/>
      <c r="G23" s="142"/>
      <c r="H23" s="142"/>
      <c r="I23" s="142"/>
      <c r="J23" s="142"/>
      <c r="K23" s="142"/>
      <c r="L23" s="142"/>
      <c r="M23" s="142"/>
      <c r="N23" s="142"/>
      <c r="O23" s="142"/>
      <c r="P23" s="142"/>
      <c r="Q23" s="142"/>
      <c r="R23" s="142"/>
      <c r="S23" s="142"/>
      <c r="T23" s="142"/>
      <c r="U23" s="142"/>
      <c r="V23" s="142"/>
      <c r="W23" s="142"/>
      <c r="X23" s="142"/>
      <c r="Y23" s="142"/>
      <c r="Z23" s="142"/>
    </row>
    <row r="24" spans="1:26" ht="19.5" customHeight="1" thickBot="1">
      <c r="A24" s="145"/>
      <c r="B24" s="175" t="s">
        <v>1088</v>
      </c>
      <c r="C24" s="176"/>
      <c r="D24" s="360" t="str">
        <f>IF(D23="","",D23-D22)</f>
        <v/>
      </c>
      <c r="E24" s="146"/>
      <c r="F24" s="142"/>
      <c r="G24" s="142"/>
      <c r="H24" s="142"/>
      <c r="I24" s="142"/>
      <c r="J24" s="142"/>
      <c r="K24" s="142"/>
      <c r="L24" s="142"/>
      <c r="M24" s="142"/>
      <c r="N24" s="142"/>
      <c r="O24" s="142"/>
      <c r="P24" s="142"/>
      <c r="Q24" s="142"/>
      <c r="R24" s="142"/>
      <c r="S24" s="142"/>
      <c r="T24" s="142"/>
      <c r="U24" s="142"/>
      <c r="V24" s="142"/>
      <c r="W24" s="142"/>
      <c r="X24" s="142"/>
      <c r="Y24" s="142"/>
      <c r="Z24" s="142"/>
    </row>
    <row r="25" spans="1:26" ht="13.5" customHeight="1" thickBot="1">
      <c r="A25" s="145"/>
      <c r="B25" s="4709"/>
      <c r="C25" s="4709"/>
      <c r="D25" s="4710"/>
      <c r="E25" s="146"/>
      <c r="F25" s="142"/>
      <c r="G25" s="142"/>
      <c r="H25" s="142"/>
      <c r="I25" s="142"/>
      <c r="J25" s="142"/>
      <c r="K25" s="142"/>
      <c r="L25" s="142"/>
      <c r="M25" s="142"/>
      <c r="N25" s="142"/>
      <c r="O25" s="142"/>
      <c r="P25" s="142"/>
      <c r="Q25" s="142"/>
      <c r="R25" s="142"/>
      <c r="S25" s="142"/>
      <c r="T25" s="142"/>
      <c r="U25" s="142"/>
      <c r="V25" s="142"/>
      <c r="W25" s="142"/>
      <c r="X25" s="142"/>
      <c r="Y25" s="142"/>
      <c r="Z25" s="142"/>
    </row>
    <row r="26" spans="1:26" ht="19.5" customHeight="1" thickBot="1">
      <c r="A26" s="145"/>
      <c r="B26" s="4711" t="s">
        <v>1089</v>
      </c>
      <c r="C26" s="4709"/>
      <c r="D26" s="4710"/>
      <c r="E26" s="146"/>
      <c r="F26" s="142"/>
      <c r="G26" s="4712" t="str">
        <f>'84 8 Vorbereitung'!I41</f>
        <v>Vergütungszuschläge - Forderung</v>
      </c>
      <c r="H26" s="4713"/>
      <c r="I26" s="4713"/>
      <c r="J26" s="4714"/>
      <c r="K26" s="2016"/>
      <c r="L26" s="142"/>
      <c r="M26" s="142"/>
      <c r="N26" s="142"/>
      <c r="O26" s="142"/>
      <c r="P26" s="142"/>
      <c r="Q26" s="142"/>
      <c r="R26" s="142"/>
      <c r="S26" s="142"/>
      <c r="T26" s="142"/>
      <c r="U26" s="142"/>
      <c r="V26" s="142"/>
      <c r="W26" s="142"/>
      <c r="X26" s="142"/>
      <c r="Y26" s="142"/>
      <c r="Z26" s="142"/>
    </row>
    <row r="27" spans="1:26" ht="19.5" customHeight="1">
      <c r="A27" s="145"/>
      <c r="B27" s="177" t="s">
        <v>1090</v>
      </c>
      <c r="C27" s="178"/>
      <c r="D27" s="361" t="str">
        <f>IF('84 8 Nachweis'!N32="","",'84 8 Nachweis'!N32)</f>
        <v/>
      </c>
      <c r="E27" s="146"/>
      <c r="F27" s="142"/>
      <c r="G27" s="369" t="e">
        <f>IF(D17="ja","",(G28/(H27)-1))</f>
        <v>#VALUE!</v>
      </c>
      <c r="H27" s="4703">
        <f>C40</f>
        <v>0</v>
      </c>
      <c r="I27" s="4704"/>
      <c r="J27" s="179" t="s">
        <v>1091</v>
      </c>
      <c r="K27" s="2016"/>
      <c r="L27" s="142"/>
      <c r="M27" s="142"/>
      <c r="N27" s="142"/>
      <c r="O27" s="142"/>
      <c r="P27" s="142"/>
      <c r="Q27" s="142"/>
      <c r="R27" s="142"/>
      <c r="S27" s="142"/>
      <c r="T27" s="142"/>
      <c r="U27" s="142"/>
      <c r="V27" s="142"/>
      <c r="W27" s="142"/>
      <c r="X27" s="142"/>
      <c r="Y27" s="142"/>
      <c r="Z27" s="142"/>
    </row>
    <row r="28" spans="1:26" ht="19.5" customHeight="1">
      <c r="A28" s="145"/>
      <c r="B28" s="177" t="s">
        <v>1092</v>
      </c>
      <c r="C28" s="178"/>
      <c r="D28" s="361" t="str">
        <f>IF('84 8 Nachweis'!P32="","",'84 8 Nachweis'!P32)</f>
        <v/>
      </c>
      <c r="E28" s="146"/>
      <c r="F28" s="142"/>
      <c r="G28" s="370" t="str">
        <f>IF(SUM('84 8 Nachweis'!M12:M31)=0,"",ROUND(D30/D20,2))</f>
        <v/>
      </c>
      <c r="H28" s="4717" t="s">
        <v>1450</v>
      </c>
      <c r="I28" s="4717"/>
      <c r="J28" s="4718"/>
      <c r="K28" s="2016"/>
      <c r="L28" s="2016"/>
      <c r="M28" s="142"/>
      <c r="N28" s="142"/>
      <c r="O28" s="142"/>
      <c r="P28" s="142"/>
      <c r="Q28" s="142"/>
      <c r="R28" s="142"/>
      <c r="S28" s="142"/>
      <c r="T28" s="142"/>
      <c r="U28" s="142"/>
      <c r="V28" s="142"/>
      <c r="W28" s="142"/>
      <c r="X28" s="142"/>
      <c r="Y28" s="142"/>
      <c r="Z28" s="142"/>
    </row>
    <row r="29" spans="1:26" ht="19.5" customHeight="1" thickBot="1">
      <c r="A29" s="145"/>
      <c r="B29" s="177" t="s">
        <v>1093</v>
      </c>
      <c r="C29" s="178"/>
      <c r="D29" s="362">
        <f>+'84 8 Nachweis'!Q39</f>
        <v>0</v>
      </c>
      <c r="E29" s="146"/>
      <c r="F29" s="142"/>
      <c r="G29" s="180" t="e">
        <f>IF(H29=0,"",(G30/(H29)-1))</f>
        <v>#VALUE!</v>
      </c>
      <c r="H29" s="4719" t="str">
        <f>C45</f>
        <v/>
      </c>
      <c r="I29" s="4720"/>
      <c r="J29" s="181" t="s">
        <v>1094</v>
      </c>
      <c r="K29" s="2016"/>
      <c r="L29" s="142"/>
      <c r="M29" s="142"/>
      <c r="N29" s="142"/>
      <c r="O29" s="142"/>
      <c r="P29" s="142"/>
      <c r="Q29" s="142"/>
      <c r="R29" s="142"/>
      <c r="S29" s="142"/>
      <c r="T29" s="142"/>
      <c r="U29" s="142"/>
      <c r="V29" s="142"/>
      <c r="W29" s="142"/>
      <c r="X29" s="142"/>
      <c r="Y29" s="142"/>
      <c r="Z29" s="142"/>
    </row>
    <row r="30" spans="1:26" ht="19.5" customHeight="1" thickBot="1">
      <c r="A30" s="145"/>
      <c r="B30" s="182" t="s">
        <v>1095</v>
      </c>
      <c r="C30" s="183"/>
      <c r="D30" s="363">
        <f>SUM(D27:D29)</f>
        <v>0</v>
      </c>
      <c r="E30" s="146"/>
      <c r="F30" s="142"/>
      <c r="G30" s="371" t="str">
        <f>IF(AND(Kurzzeitpflege=0,D17="nein"),"",ROUND(D30/D19,2))</f>
        <v/>
      </c>
      <c r="H30" s="4721" t="s">
        <v>1451</v>
      </c>
      <c r="I30" s="4721"/>
      <c r="J30" s="4722"/>
      <c r="K30" s="2016"/>
      <c r="L30" s="2016"/>
      <c r="M30" s="142"/>
      <c r="N30" s="142"/>
      <c r="O30" s="142"/>
      <c r="P30" s="142"/>
      <c r="Q30" s="142"/>
      <c r="R30" s="142"/>
      <c r="S30" s="142"/>
      <c r="T30" s="142"/>
      <c r="U30" s="142"/>
      <c r="V30" s="142"/>
      <c r="W30" s="142"/>
      <c r="X30" s="142"/>
      <c r="Y30" s="142"/>
      <c r="Z30" s="142"/>
    </row>
    <row r="31" spans="1:26" ht="13.5" customHeight="1" thickBot="1">
      <c r="A31" s="145"/>
      <c r="B31" s="184"/>
      <c r="C31" s="160"/>
      <c r="D31" s="185"/>
      <c r="E31" s="146"/>
      <c r="F31" s="142"/>
      <c r="G31" s="142"/>
      <c r="H31" s="142"/>
      <c r="I31" s="142"/>
      <c r="J31" s="142"/>
      <c r="K31" s="142"/>
      <c r="L31" s="142"/>
      <c r="M31" s="142"/>
      <c r="N31" s="142"/>
      <c r="O31" s="142"/>
      <c r="P31" s="142"/>
      <c r="Q31" s="142"/>
      <c r="R31" s="142"/>
      <c r="S31" s="142"/>
      <c r="T31" s="142"/>
      <c r="U31" s="142"/>
      <c r="V31" s="142"/>
      <c r="W31" s="142"/>
      <c r="X31" s="142"/>
      <c r="Y31" s="142"/>
      <c r="Z31" s="142"/>
    </row>
    <row r="32" spans="1:26" ht="19.5" customHeight="1" thickBot="1">
      <c r="A32" s="145"/>
      <c r="B32" s="4711" t="s">
        <v>1096</v>
      </c>
      <c r="C32" s="4709"/>
      <c r="D32" s="4710"/>
      <c r="E32" s="146"/>
      <c r="F32" s="142"/>
      <c r="G32" s="142"/>
      <c r="H32" s="142"/>
      <c r="I32" s="142"/>
      <c r="J32" s="142"/>
      <c r="K32" s="142"/>
      <c r="L32" s="142"/>
      <c r="M32" s="142"/>
      <c r="N32" s="142"/>
      <c r="O32" s="142"/>
      <c r="P32" s="142"/>
      <c r="Q32" s="142"/>
      <c r="R32" s="142"/>
      <c r="S32" s="142"/>
      <c r="T32" s="142"/>
      <c r="U32" s="142"/>
      <c r="V32" s="142"/>
      <c r="W32" s="142"/>
      <c r="X32" s="142"/>
      <c r="Y32" s="142"/>
      <c r="Z32" s="142"/>
    </row>
    <row r="33" spans="1:26" ht="19.5" customHeight="1">
      <c r="A33" s="145"/>
      <c r="B33" s="161" t="s">
        <v>1097</v>
      </c>
      <c r="C33" s="186"/>
      <c r="D33" s="635" t="str">
        <f>IF('84 8 Vorbereitung'!B30="","",'84 8 Vorbereitung'!B30)</f>
        <v/>
      </c>
      <c r="E33" s="146"/>
      <c r="F33" s="142"/>
      <c r="G33" s="142"/>
      <c r="H33" s="142"/>
      <c r="I33" s="142"/>
      <c r="J33" s="142"/>
      <c r="K33" s="142"/>
      <c r="L33" s="142"/>
      <c r="M33" s="142"/>
      <c r="N33" s="142"/>
      <c r="O33" s="142"/>
      <c r="P33" s="142"/>
      <c r="Q33" s="142"/>
      <c r="R33" s="142"/>
      <c r="S33" s="142"/>
      <c r="T33" s="142"/>
      <c r="U33" s="142"/>
      <c r="V33" s="142"/>
      <c r="W33" s="142"/>
      <c r="X33" s="142"/>
      <c r="Y33" s="142"/>
      <c r="Z33" s="142"/>
    </row>
    <row r="34" spans="1:26" ht="19.5" customHeight="1">
      <c r="A34" s="145"/>
      <c r="B34" s="177" t="s">
        <v>1090</v>
      </c>
      <c r="C34" s="178"/>
      <c r="D34" s="364" t="str">
        <f>IF('84 8 Vorbereitung'!C30="","",'84 8 Vorbereitung'!C30)</f>
        <v/>
      </c>
      <c r="E34" s="146"/>
      <c r="F34" s="142"/>
      <c r="G34" s="142"/>
      <c r="H34" s="142"/>
      <c r="I34" s="142"/>
      <c r="J34" s="142"/>
      <c r="K34" s="142"/>
      <c r="L34" s="142"/>
      <c r="M34" s="142"/>
      <c r="N34" s="142"/>
      <c r="O34" s="142"/>
      <c r="P34" s="142"/>
      <c r="Q34" s="142"/>
      <c r="R34" s="142"/>
      <c r="S34" s="142"/>
      <c r="T34" s="142"/>
      <c r="U34" s="142"/>
      <c r="V34" s="142"/>
      <c r="W34" s="142"/>
      <c r="X34" s="142"/>
      <c r="Y34" s="142"/>
      <c r="Z34" s="142"/>
    </row>
    <row r="35" spans="1:26" ht="19.5" customHeight="1">
      <c r="A35" s="145"/>
      <c r="B35" s="177" t="s">
        <v>1092</v>
      </c>
      <c r="C35" s="178"/>
      <c r="D35" s="364">
        <f>IF('84 8 Vorbereitung'!E30="","",'84 8 Vorbereitung'!E30)</f>
        <v>0</v>
      </c>
      <c r="E35" s="146"/>
      <c r="F35" s="142"/>
      <c r="G35" s="142"/>
      <c r="H35" s="142"/>
      <c r="I35" s="142"/>
      <c r="J35" s="142"/>
      <c r="K35" s="142"/>
      <c r="L35" s="142"/>
      <c r="M35" s="142"/>
      <c r="N35" s="142"/>
      <c r="O35" s="142"/>
      <c r="P35" s="142"/>
      <c r="Q35" s="142"/>
      <c r="R35" s="142"/>
      <c r="S35" s="142"/>
      <c r="T35" s="142"/>
      <c r="U35" s="142"/>
      <c r="V35" s="142"/>
      <c r="W35" s="142"/>
      <c r="X35" s="142"/>
      <c r="Y35" s="142"/>
      <c r="Z35" s="142"/>
    </row>
    <row r="36" spans="1:26" ht="19.5" customHeight="1" thickBot="1">
      <c r="A36" s="145"/>
      <c r="B36" s="177" t="s">
        <v>1093</v>
      </c>
      <c r="C36" s="178"/>
      <c r="D36" s="362">
        <f>IF('84 8 Vorbereitung'!F37="","",'84 8 Vorbereitung'!F37)</f>
        <v>0</v>
      </c>
      <c r="E36" s="146"/>
      <c r="F36" s="142"/>
      <c r="G36" s="142"/>
      <c r="H36" s="142"/>
      <c r="I36" s="142"/>
      <c r="J36" s="142"/>
      <c r="K36" s="142"/>
      <c r="L36" s="142"/>
      <c r="M36" s="142"/>
      <c r="N36" s="142"/>
      <c r="O36" s="142"/>
      <c r="P36" s="142"/>
      <c r="Q36" s="142"/>
      <c r="R36" s="142"/>
      <c r="S36" s="142"/>
      <c r="T36" s="142"/>
      <c r="U36" s="142"/>
      <c r="V36" s="142"/>
      <c r="W36" s="142"/>
      <c r="X36" s="142"/>
      <c r="Y36" s="142"/>
      <c r="Z36" s="142"/>
    </row>
    <row r="37" spans="1:26" ht="19.5" customHeight="1" thickBot="1">
      <c r="A37" s="145"/>
      <c r="B37" s="182" t="s">
        <v>1098</v>
      </c>
      <c r="C37" s="183"/>
      <c r="D37" s="365">
        <f>SUM(D34:D36)</f>
        <v>0</v>
      </c>
      <c r="E37" s="146"/>
      <c r="F37" s="142"/>
      <c r="G37" s="142"/>
      <c r="H37" s="187"/>
      <c r="I37" s="142"/>
      <c r="J37" s="142"/>
      <c r="K37" s="142"/>
      <c r="L37" s="142"/>
      <c r="M37" s="142"/>
      <c r="N37" s="142"/>
      <c r="O37" s="142"/>
      <c r="P37" s="142"/>
      <c r="Q37" s="142"/>
      <c r="R37" s="142"/>
      <c r="S37" s="142"/>
      <c r="T37" s="142"/>
      <c r="U37" s="142"/>
      <c r="V37" s="142"/>
      <c r="W37" s="142"/>
      <c r="X37" s="142"/>
      <c r="Y37" s="142"/>
      <c r="Z37" s="142"/>
    </row>
    <row r="38" spans="1:26" ht="13.5" customHeight="1" thickBot="1">
      <c r="A38" s="145"/>
      <c r="B38" s="184"/>
      <c r="C38" s="160"/>
      <c r="D38" s="185"/>
      <c r="E38" s="146"/>
      <c r="F38" s="142"/>
      <c r="G38" s="142"/>
      <c r="H38" s="142"/>
      <c r="I38" s="142"/>
      <c r="J38" s="142"/>
      <c r="K38" s="142"/>
      <c r="L38" s="142"/>
      <c r="M38" s="142"/>
      <c r="N38" s="142"/>
      <c r="O38" s="142"/>
      <c r="P38" s="142"/>
      <c r="Q38" s="142"/>
      <c r="R38" s="142"/>
      <c r="S38" s="142"/>
      <c r="T38" s="142"/>
      <c r="U38" s="142"/>
      <c r="V38" s="142"/>
      <c r="W38" s="142"/>
      <c r="X38" s="142"/>
      <c r="Y38" s="142"/>
      <c r="Z38" s="142"/>
    </row>
    <row r="39" spans="1:26" ht="19.5" customHeight="1" thickBot="1">
      <c r="A39" s="145"/>
      <c r="B39" s="4711" t="s">
        <v>1099</v>
      </c>
      <c r="C39" s="4709"/>
      <c r="D39" s="4710"/>
      <c r="E39" s="146"/>
      <c r="F39" s="142"/>
      <c r="G39" s="4733" t="s">
        <v>1569</v>
      </c>
      <c r="H39" s="4734"/>
      <c r="I39" s="4734"/>
      <c r="J39" s="4735"/>
      <c r="K39" s="2699"/>
      <c r="L39" s="142"/>
      <c r="M39" s="142"/>
      <c r="N39" s="142"/>
      <c r="O39" s="142"/>
      <c r="P39" s="142"/>
      <c r="Q39" s="142"/>
      <c r="R39" s="142"/>
      <c r="S39" s="142"/>
      <c r="T39" s="142"/>
      <c r="U39" s="142"/>
      <c r="V39" s="142"/>
      <c r="W39" s="142"/>
      <c r="X39" s="142"/>
      <c r="Y39" s="142"/>
      <c r="Z39" s="142"/>
    </row>
    <row r="40" spans="1:26" s="189" customFormat="1" ht="19.5" customHeight="1" thickBot="1">
      <c r="A40" s="145"/>
      <c r="B40" s="188" t="s">
        <v>881</v>
      </c>
      <c r="C40" s="409"/>
      <c r="D40" s="366" t="e">
        <f>"Veränderungsrate:   "&amp;TEXT(D41/(C40)-1,"0,00 % ")</f>
        <v>#VALUE!</v>
      </c>
      <c r="E40" s="146"/>
      <c r="F40" s="142"/>
      <c r="G40" s="4736" t="s">
        <v>1570</v>
      </c>
      <c r="H40" s="4737"/>
      <c r="I40" s="4737"/>
      <c r="J40" s="4738"/>
      <c r="K40" s="2700"/>
      <c r="L40" s="142"/>
      <c r="M40" s="142"/>
      <c r="N40" s="142"/>
      <c r="O40" s="142"/>
      <c r="P40" s="142"/>
      <c r="Q40" s="142"/>
      <c r="R40" s="142"/>
      <c r="S40" s="142"/>
      <c r="T40" s="142"/>
      <c r="U40" s="142"/>
      <c r="V40" s="142"/>
      <c r="W40" s="142"/>
      <c r="X40" s="142"/>
      <c r="Y40" s="142"/>
      <c r="Z40" s="142"/>
    </row>
    <row r="41" spans="1:26" ht="19.5" customHeight="1" thickBot="1">
      <c r="A41" s="145"/>
      <c r="B41" s="190" t="s">
        <v>1448</v>
      </c>
      <c r="C41" s="191"/>
      <c r="D41" s="530" t="str">
        <f>IF('84 8 Vorbereitung'!F43="","",'84 8 Vorbereitung'!F43)</f>
        <v/>
      </c>
      <c r="E41" s="192"/>
      <c r="F41" s="142"/>
      <c r="G41" s="2673" t="s">
        <v>1571</v>
      </c>
      <c r="H41" s="2674"/>
      <c r="I41" s="2675"/>
      <c r="J41" s="2676">
        <f>C40</f>
        <v>0</v>
      </c>
      <c r="K41" s="2701"/>
      <c r="L41" s="142"/>
      <c r="M41" s="142"/>
      <c r="N41" s="142"/>
      <c r="O41" s="142"/>
      <c r="P41" s="142"/>
      <c r="Q41" s="142"/>
      <c r="R41" s="142"/>
      <c r="S41" s="142"/>
      <c r="T41" s="142"/>
      <c r="U41" s="142"/>
      <c r="V41" s="142"/>
      <c r="W41" s="142"/>
      <c r="X41" s="142"/>
      <c r="Y41" s="142"/>
      <c r="Z41" s="142"/>
    </row>
    <row r="42" spans="1:26" ht="19.5" customHeight="1" thickBot="1">
      <c r="A42" s="145"/>
      <c r="B42" s="4723" t="str">
        <f>IF('84 8 Vorbereitung'!G6="","",'84 8 Vorbereitung'!B44)</f>
        <v/>
      </c>
      <c r="C42" s="4724"/>
      <c r="D42" s="654" t="str">
        <f>IF('84 8 Vorbereitung'!F44="","",'84 8 Vorbereitung'!F44)</f>
        <v/>
      </c>
      <c r="E42" s="192"/>
      <c r="F42" s="142"/>
      <c r="G42" s="2677" t="s">
        <v>1572</v>
      </c>
      <c r="H42" s="2678"/>
      <c r="I42" s="2679"/>
      <c r="J42" s="2691">
        <v>2.4E-2</v>
      </c>
      <c r="K42" s="2689" t="s">
        <v>1577</v>
      </c>
      <c r="L42" s="2690"/>
      <c r="M42" s="142"/>
      <c r="N42" s="142"/>
      <c r="O42" s="142"/>
      <c r="P42" s="142"/>
      <c r="Q42" s="142"/>
      <c r="R42" s="142"/>
      <c r="S42" s="142"/>
      <c r="T42" s="142"/>
      <c r="U42" s="142"/>
      <c r="V42" s="142"/>
      <c r="W42" s="142"/>
      <c r="X42" s="142"/>
      <c r="Y42" s="142"/>
      <c r="Z42" s="142"/>
    </row>
    <row r="43" spans="1:26" ht="19.5" customHeight="1" thickBot="1">
      <c r="A43" s="145"/>
      <c r="B43" s="4725" t="str">
        <f>IF('84 8 Vorbereitung'!G6="","",'84 8 Vorbereitung'!B45)</f>
        <v/>
      </c>
      <c r="C43" s="4726"/>
      <c r="D43" s="655" t="str">
        <f>IF('84 8 Vorbereitung'!F45="","",'84 8 Vorbereitung'!F45)</f>
        <v/>
      </c>
      <c r="E43" s="192"/>
      <c r="F43" s="142"/>
      <c r="G43" s="2680" t="s">
        <v>1573</v>
      </c>
      <c r="H43" s="2681"/>
      <c r="I43" s="2682"/>
      <c r="J43" s="2692">
        <v>2.4E-2</v>
      </c>
      <c r="K43" s="2689" t="s">
        <v>1576</v>
      </c>
      <c r="L43" s="2690"/>
      <c r="M43" s="142"/>
      <c r="N43" s="142"/>
      <c r="O43" s="142"/>
      <c r="P43" s="142"/>
      <c r="Q43" s="142"/>
      <c r="R43" s="142"/>
      <c r="S43" s="142"/>
      <c r="T43" s="142"/>
      <c r="U43" s="142"/>
      <c r="V43" s="142"/>
      <c r="W43" s="142"/>
      <c r="X43" s="142"/>
      <c r="Y43" s="142"/>
      <c r="Z43" s="142"/>
    </row>
    <row r="44" spans="1:26" ht="13.5" thickBot="1">
      <c r="A44" s="145"/>
      <c r="B44" s="160"/>
      <c r="C44" s="160"/>
      <c r="D44" s="146"/>
      <c r="E44" s="146"/>
      <c r="F44" s="142"/>
      <c r="G44" s="2016"/>
      <c r="H44" s="2670"/>
      <c r="I44" s="2670"/>
      <c r="J44" s="2670"/>
      <c r="K44" s="2670"/>
      <c r="L44" s="142"/>
      <c r="M44" s="142"/>
      <c r="N44" s="142"/>
      <c r="O44" s="142"/>
      <c r="P44" s="142"/>
      <c r="Q44" s="142"/>
      <c r="R44" s="142"/>
      <c r="S44" s="142"/>
      <c r="T44" s="142"/>
      <c r="U44" s="142"/>
      <c r="V44" s="142"/>
      <c r="W44" s="142"/>
      <c r="X44" s="142"/>
      <c r="Y44" s="142"/>
      <c r="Z44" s="142"/>
    </row>
    <row r="45" spans="1:26" s="194" customFormat="1" ht="19.5" customHeight="1" thickBot="1">
      <c r="A45" s="145"/>
      <c r="B45" s="188" t="s">
        <v>882</v>
      </c>
      <c r="C45" s="372" t="str">
        <f>IF(AND($D$16=0,$D$17="nein"),"",C40/30.42)</f>
        <v/>
      </c>
      <c r="D45" s="193" t="e">
        <f>"Veränderungsrate:   "&amp;TEXT(D46/(C45)-1,"0,00 % ")</f>
        <v>#VALUE!</v>
      </c>
      <c r="E45" s="146"/>
      <c r="F45" s="160"/>
      <c r="G45" s="2683" t="s">
        <v>1574</v>
      </c>
      <c r="H45" s="2684"/>
      <c r="I45" s="2685"/>
      <c r="J45" s="2686">
        <f>(J41)*(1+$J$42)</f>
        <v>0</v>
      </c>
      <c r="K45" s="2693"/>
      <c r="L45" s="160"/>
      <c r="M45" s="160"/>
      <c r="N45" s="160"/>
      <c r="O45" s="160"/>
      <c r="P45" s="160"/>
      <c r="Q45" s="160"/>
      <c r="R45" s="160"/>
      <c r="S45" s="160"/>
      <c r="T45" s="160"/>
      <c r="U45" s="160"/>
      <c r="V45" s="160"/>
      <c r="W45" s="160"/>
      <c r="X45" s="160"/>
      <c r="Y45" s="160"/>
      <c r="Z45" s="160"/>
    </row>
    <row r="46" spans="1:26" s="195" customFormat="1" ht="19.5" customHeight="1" thickBot="1">
      <c r="A46" s="145"/>
      <c r="B46" s="190" t="s">
        <v>1449</v>
      </c>
      <c r="C46" s="191"/>
      <c r="D46" s="531" t="str">
        <f>IF(AND($D$16=0,$D$17="nein"),"",'84 8 Vorbereitung'!F47)</f>
        <v/>
      </c>
      <c r="E46" s="192"/>
      <c r="F46" s="160"/>
      <c r="G46" s="2683" t="s">
        <v>1575</v>
      </c>
      <c r="H46" s="2687"/>
      <c r="I46" s="2688"/>
      <c r="J46" s="2686">
        <f>(J41)*(1+$J$43)</f>
        <v>0</v>
      </c>
      <c r="K46" s="2693"/>
      <c r="L46" s="160"/>
      <c r="M46" s="160"/>
      <c r="N46" s="160"/>
      <c r="O46" s="160"/>
      <c r="P46" s="160"/>
      <c r="Q46" s="160"/>
      <c r="R46" s="160"/>
      <c r="S46" s="160"/>
      <c r="T46" s="160"/>
      <c r="U46" s="160"/>
      <c r="V46" s="160"/>
      <c r="W46" s="160"/>
      <c r="X46" s="160"/>
      <c r="Y46" s="160"/>
      <c r="Z46" s="160"/>
    </row>
    <row r="47" spans="1:26" ht="19.5" customHeight="1">
      <c r="A47" s="145"/>
      <c r="B47" s="4727" t="str">
        <f>IF('84 8 Vorbereitung'!G6="","",'84 8 Vorbereitung'!B48)</f>
        <v/>
      </c>
      <c r="C47" s="4728"/>
      <c r="D47" s="367" t="str">
        <f>IF(AND($D$16="",$D$17="nein"),"",'84 8 Vorbereitung'!F48)</f>
        <v/>
      </c>
      <c r="E47" s="196"/>
      <c r="F47" s="142"/>
      <c r="G47" s="142"/>
      <c r="H47" s="142"/>
      <c r="I47" s="142"/>
      <c r="J47" s="142"/>
      <c r="K47" s="142"/>
      <c r="L47" s="142"/>
      <c r="M47" s="142"/>
      <c r="N47" s="142"/>
      <c r="O47" s="142"/>
      <c r="P47" s="142"/>
      <c r="Q47" s="142"/>
      <c r="R47" s="142"/>
      <c r="S47" s="142"/>
      <c r="T47" s="142"/>
      <c r="U47" s="142"/>
      <c r="V47" s="142"/>
      <c r="W47" s="142"/>
      <c r="X47" s="142"/>
      <c r="Y47" s="142"/>
      <c r="Z47" s="142"/>
    </row>
    <row r="48" spans="1:26" ht="20.25" customHeight="1" thickBot="1">
      <c r="A48" s="145"/>
      <c r="B48" s="4729" t="str">
        <f>IF('84 8 Vorbereitung'!G6="","",'84 8 Vorbereitung'!B49)</f>
        <v/>
      </c>
      <c r="C48" s="4730"/>
      <c r="D48" s="368" t="str">
        <f>IF(AND($D$16="",$D$17="nein"),"",'84 8 Vorbereitung'!F49)</f>
        <v/>
      </c>
      <c r="E48" s="196"/>
      <c r="F48" s="142"/>
      <c r="G48" s="142"/>
      <c r="H48" s="142"/>
      <c r="I48" s="142"/>
      <c r="J48" s="142"/>
      <c r="K48" s="142"/>
      <c r="L48" s="142"/>
      <c r="M48" s="142"/>
      <c r="N48" s="142"/>
      <c r="O48" s="142"/>
      <c r="P48" s="142"/>
      <c r="Q48" s="142"/>
      <c r="R48" s="142"/>
      <c r="S48" s="142"/>
      <c r="T48" s="142"/>
      <c r="U48" s="142"/>
      <c r="V48" s="142"/>
      <c r="W48" s="142"/>
      <c r="X48" s="142"/>
      <c r="Y48" s="142"/>
      <c r="Z48" s="142"/>
    </row>
    <row r="49" spans="1:26" ht="13.5" thickBot="1">
      <c r="A49" s="197"/>
      <c r="B49" s="198"/>
      <c r="C49" s="198"/>
      <c r="D49" s="199"/>
      <c r="E49" s="199"/>
      <c r="F49" s="142"/>
      <c r="G49" s="142"/>
      <c r="H49" s="142"/>
      <c r="I49" s="142"/>
      <c r="J49" s="142"/>
      <c r="K49" s="142"/>
      <c r="L49" s="142"/>
      <c r="M49" s="142"/>
      <c r="N49" s="142"/>
      <c r="O49" s="142"/>
      <c r="P49" s="142"/>
      <c r="Q49" s="142"/>
      <c r="R49" s="142"/>
      <c r="S49" s="142"/>
      <c r="T49" s="142"/>
      <c r="U49" s="142"/>
      <c r="V49" s="142"/>
      <c r="W49" s="142"/>
      <c r="X49" s="142"/>
      <c r="Y49" s="142"/>
      <c r="Z49" s="142"/>
    </row>
    <row r="50" spans="1:26" ht="13.5" thickBot="1">
      <c r="A50" s="145"/>
      <c r="B50" s="160"/>
      <c r="C50" s="160"/>
      <c r="D50" s="146"/>
      <c r="E50" s="160"/>
      <c r="F50" s="142"/>
      <c r="G50" s="160"/>
      <c r="H50" s="160"/>
      <c r="I50" s="160"/>
      <c r="J50" s="160"/>
      <c r="K50" s="142"/>
      <c r="L50" s="142"/>
      <c r="M50" s="142"/>
      <c r="N50" s="142"/>
      <c r="O50" s="142"/>
      <c r="P50" s="142"/>
      <c r="Q50" s="142"/>
      <c r="R50" s="142"/>
      <c r="S50" s="142"/>
      <c r="T50" s="142"/>
      <c r="U50" s="142"/>
      <c r="V50" s="142"/>
      <c r="W50" s="142"/>
      <c r="X50" s="142"/>
      <c r="Y50" s="142"/>
      <c r="Z50" s="142"/>
    </row>
    <row r="51" spans="1:26" ht="21.75" thickBot="1">
      <c r="A51" s="145"/>
      <c r="B51" s="4711" t="s">
        <v>1100</v>
      </c>
      <c r="C51" s="4709"/>
      <c r="D51" s="4710"/>
      <c r="E51" s="160"/>
      <c r="F51" s="142"/>
      <c r="G51" s="142"/>
      <c r="H51" s="142"/>
      <c r="I51" s="142"/>
      <c r="J51" s="142"/>
      <c r="K51" s="142"/>
      <c r="L51" s="142"/>
      <c r="M51" s="142"/>
      <c r="N51" s="142"/>
      <c r="O51" s="142"/>
      <c r="P51" s="142"/>
      <c r="Q51" s="142"/>
      <c r="R51" s="142"/>
      <c r="S51" s="142"/>
      <c r="T51" s="142"/>
      <c r="U51" s="142"/>
      <c r="V51" s="142"/>
      <c r="W51" s="142"/>
      <c r="X51" s="142"/>
      <c r="Y51" s="142"/>
      <c r="Z51" s="142"/>
    </row>
    <row r="52" spans="1:26" s="195" customFormat="1" ht="13.5" thickBot="1">
      <c r="A52" s="145"/>
      <c r="B52" s="160"/>
      <c r="C52" s="160"/>
      <c r="D52" s="146"/>
      <c r="F52" s="160"/>
      <c r="G52" s="142"/>
      <c r="H52" s="142"/>
      <c r="I52" s="142"/>
      <c r="J52" s="142"/>
      <c r="K52" s="160"/>
      <c r="L52" s="160"/>
      <c r="M52" s="160"/>
      <c r="N52" s="160"/>
      <c r="O52" s="160"/>
      <c r="P52" s="160"/>
      <c r="Q52" s="160"/>
      <c r="R52" s="160"/>
      <c r="S52" s="160"/>
      <c r="T52" s="160"/>
      <c r="U52" s="160"/>
      <c r="V52" s="160"/>
      <c r="W52" s="160"/>
      <c r="X52" s="160"/>
      <c r="Y52" s="160"/>
      <c r="Z52" s="160"/>
    </row>
    <row r="53" spans="1:26" s="195" customFormat="1" ht="15.75">
      <c r="A53" s="145"/>
      <c r="B53" s="200" t="s">
        <v>1101</v>
      </c>
      <c r="C53" s="201" t="s">
        <v>1102</v>
      </c>
      <c r="D53" s="202" t="s">
        <v>1103</v>
      </c>
      <c r="F53" s="160"/>
      <c r="G53" s="160"/>
      <c r="H53" s="160"/>
      <c r="I53" s="160"/>
      <c r="J53" s="160"/>
      <c r="K53" s="160"/>
      <c r="L53" s="160"/>
      <c r="M53" s="160"/>
      <c r="N53" s="160"/>
      <c r="O53" s="160"/>
      <c r="P53" s="160"/>
      <c r="Q53" s="160"/>
      <c r="R53" s="160"/>
      <c r="S53" s="160"/>
      <c r="T53" s="160"/>
      <c r="U53" s="160"/>
      <c r="V53" s="160"/>
      <c r="W53" s="160"/>
      <c r="X53" s="160"/>
      <c r="Y53" s="160"/>
      <c r="Z53" s="160"/>
    </row>
    <row r="54" spans="1:26" s="195" customFormat="1">
      <c r="A54" s="145"/>
      <c r="B54" s="203" t="s">
        <v>1104</v>
      </c>
      <c r="C54" s="204">
        <f>+D30</f>
        <v>0</v>
      </c>
      <c r="D54" s="205">
        <f>+D37</f>
        <v>0</v>
      </c>
      <c r="F54" s="160"/>
      <c r="G54" s="160"/>
      <c r="H54" s="160"/>
      <c r="I54" s="160"/>
      <c r="J54" s="160"/>
      <c r="K54" s="160"/>
      <c r="L54" s="160"/>
      <c r="M54" s="160"/>
      <c r="N54" s="160"/>
      <c r="O54" s="160"/>
      <c r="P54" s="160"/>
      <c r="Q54" s="160"/>
      <c r="R54" s="160"/>
      <c r="S54" s="160"/>
      <c r="T54" s="160"/>
      <c r="U54" s="160"/>
      <c r="V54" s="160"/>
      <c r="W54" s="160"/>
      <c r="X54" s="160"/>
      <c r="Y54" s="160"/>
      <c r="Z54" s="160"/>
    </row>
    <row r="55" spans="1:26" s="195" customFormat="1">
      <c r="A55" s="145"/>
      <c r="B55" s="206" t="s">
        <v>1105</v>
      </c>
      <c r="C55" s="636" t="str">
        <f>+D23</f>
        <v/>
      </c>
      <c r="D55" s="637" t="str">
        <f>+D33</f>
        <v/>
      </c>
      <c r="F55" s="160"/>
      <c r="G55" s="160"/>
      <c r="H55" s="160"/>
      <c r="I55" s="160"/>
      <c r="J55" s="160"/>
      <c r="K55" s="160"/>
      <c r="L55" s="160"/>
      <c r="M55" s="160"/>
      <c r="N55" s="160"/>
      <c r="O55" s="160"/>
      <c r="P55" s="160"/>
      <c r="Q55" s="160"/>
      <c r="R55" s="160"/>
      <c r="S55" s="160"/>
      <c r="T55" s="160"/>
      <c r="U55" s="160"/>
      <c r="V55" s="160"/>
      <c r="W55" s="160"/>
      <c r="X55" s="160"/>
      <c r="Y55" s="160"/>
      <c r="Z55" s="160"/>
    </row>
    <row r="56" spans="1:26" s="195" customFormat="1">
      <c r="A56" s="145"/>
      <c r="B56" s="206" t="s">
        <v>1106</v>
      </c>
      <c r="C56" s="207" t="e">
        <f>D27/D23</f>
        <v>#VALUE!</v>
      </c>
      <c r="D56" s="208" t="e">
        <f>D34/D33</f>
        <v>#VALUE!</v>
      </c>
      <c r="F56" s="160"/>
      <c r="G56" s="160"/>
      <c r="H56" s="160"/>
      <c r="I56" s="160"/>
      <c r="J56" s="160"/>
      <c r="K56" s="160"/>
      <c r="L56" s="160"/>
      <c r="M56" s="160"/>
      <c r="N56" s="160"/>
      <c r="O56" s="160"/>
      <c r="P56" s="160"/>
      <c r="Q56" s="160"/>
      <c r="R56" s="160"/>
      <c r="S56" s="160"/>
      <c r="T56" s="160"/>
      <c r="U56" s="160"/>
      <c r="V56" s="160"/>
      <c r="W56" s="160"/>
      <c r="X56" s="160"/>
      <c r="Y56" s="160"/>
      <c r="Z56" s="160"/>
    </row>
    <row r="57" spans="1:26" s="195" customFormat="1">
      <c r="A57" s="145"/>
      <c r="B57" s="209" t="s">
        <v>1107</v>
      </c>
      <c r="C57" s="210" t="e">
        <f>(D27+D28)/D23</f>
        <v>#VALUE!</v>
      </c>
      <c r="D57" s="211" t="e">
        <f>+(D34+D35)/D33</f>
        <v>#VALUE!</v>
      </c>
      <c r="F57" s="160"/>
      <c r="G57" s="160"/>
      <c r="H57" s="160"/>
      <c r="I57" s="160"/>
      <c r="J57" s="160"/>
      <c r="K57" s="160"/>
      <c r="L57" s="160"/>
      <c r="M57" s="160"/>
      <c r="N57" s="160"/>
      <c r="O57" s="160"/>
      <c r="P57" s="160"/>
      <c r="Q57" s="160"/>
      <c r="R57" s="160"/>
      <c r="S57" s="160"/>
      <c r="T57" s="160"/>
      <c r="U57" s="160"/>
      <c r="V57" s="160"/>
      <c r="W57" s="160"/>
      <c r="X57" s="160"/>
      <c r="Y57" s="160"/>
      <c r="Z57" s="160"/>
    </row>
    <row r="58" spans="1:26" s="195" customFormat="1" ht="15.75" customHeight="1">
      <c r="A58" s="145"/>
      <c r="B58" s="212" t="s">
        <v>1108</v>
      </c>
      <c r="C58" s="213"/>
      <c r="D58" s="214"/>
      <c r="F58" s="160"/>
      <c r="G58" s="160"/>
      <c r="H58" s="160"/>
      <c r="I58" s="160"/>
      <c r="J58" s="160"/>
      <c r="K58" s="160"/>
      <c r="L58" s="160"/>
      <c r="M58" s="160"/>
      <c r="N58" s="160"/>
      <c r="O58" s="160"/>
      <c r="P58" s="160"/>
      <c r="Q58" s="160"/>
      <c r="R58" s="160"/>
      <c r="S58" s="160"/>
      <c r="T58" s="160"/>
      <c r="U58" s="160"/>
      <c r="V58" s="160"/>
      <c r="W58" s="160"/>
      <c r="X58" s="160"/>
      <c r="Y58" s="160"/>
      <c r="Z58" s="160"/>
    </row>
    <row r="59" spans="1:26">
      <c r="A59" s="145"/>
      <c r="B59" s="4731" t="str">
        <f>'84 8 Nachweis'!K32</f>
        <v/>
      </c>
      <c r="C59" s="4732"/>
      <c r="D59" s="146"/>
      <c r="F59" s="142"/>
      <c r="G59" s="160"/>
      <c r="H59" s="160"/>
      <c r="I59" s="160"/>
      <c r="J59" s="160"/>
      <c r="K59" s="142"/>
      <c r="L59" s="142"/>
      <c r="M59" s="142"/>
      <c r="N59" s="142"/>
      <c r="O59" s="142"/>
      <c r="P59" s="142"/>
      <c r="Q59" s="142"/>
      <c r="R59" s="142"/>
      <c r="S59" s="142"/>
      <c r="T59" s="142"/>
      <c r="U59" s="142"/>
      <c r="V59" s="142"/>
      <c r="W59" s="142"/>
      <c r="X59" s="142"/>
      <c r="Y59" s="142"/>
      <c r="Z59" s="142"/>
    </row>
    <row r="60" spans="1:26" ht="13.5" thickBot="1">
      <c r="A60" s="197"/>
      <c r="B60" s="4715" t="str">
        <f>'84 8 Nachweis'!K33</f>
        <v/>
      </c>
      <c r="C60" s="4716"/>
      <c r="D60" s="199"/>
      <c r="F60" s="142"/>
      <c r="G60" s="160"/>
      <c r="H60" s="160"/>
      <c r="I60" s="160"/>
      <c r="J60" s="160"/>
      <c r="K60" s="142"/>
      <c r="L60" s="142"/>
      <c r="M60" s="142"/>
      <c r="N60" s="142"/>
      <c r="O60" s="142"/>
      <c r="P60" s="142"/>
      <c r="Q60" s="142"/>
      <c r="R60" s="142"/>
      <c r="S60" s="142"/>
      <c r="T60" s="142"/>
      <c r="U60" s="142"/>
      <c r="V60" s="142"/>
      <c r="W60" s="142"/>
      <c r="X60" s="142"/>
      <c r="Y60" s="142"/>
      <c r="Z60" s="142"/>
    </row>
    <row r="61" spans="1:26">
      <c r="A61" s="142"/>
      <c r="B61" s="142"/>
      <c r="C61" s="142"/>
      <c r="D61" s="142"/>
      <c r="F61" s="142"/>
      <c r="G61" s="160"/>
      <c r="H61" s="160"/>
      <c r="I61" s="160"/>
      <c r="J61" s="160"/>
      <c r="K61" s="142"/>
      <c r="L61" s="142"/>
      <c r="M61" s="142"/>
      <c r="N61" s="142"/>
      <c r="O61" s="142"/>
      <c r="P61" s="142"/>
      <c r="Q61" s="142"/>
      <c r="R61" s="142"/>
      <c r="S61" s="142"/>
      <c r="T61" s="142"/>
      <c r="U61" s="142"/>
      <c r="V61" s="142"/>
      <c r="W61" s="142"/>
      <c r="X61" s="142"/>
      <c r="Y61" s="142"/>
      <c r="Z61" s="142"/>
    </row>
    <row r="62" spans="1:26">
      <c r="A62" s="142"/>
      <c r="B62" s="142"/>
      <c r="C62" s="142"/>
      <c r="D62" s="142"/>
      <c r="F62" s="142"/>
      <c r="G62" s="160"/>
      <c r="H62" s="160"/>
      <c r="I62" s="160"/>
      <c r="J62" s="160"/>
      <c r="K62" s="142"/>
      <c r="L62" s="142"/>
      <c r="M62" s="142"/>
      <c r="N62" s="142"/>
      <c r="O62" s="142"/>
      <c r="P62" s="142"/>
      <c r="Q62" s="142"/>
      <c r="R62" s="142"/>
      <c r="S62" s="142"/>
      <c r="T62" s="142"/>
      <c r="U62" s="142"/>
      <c r="V62" s="142"/>
      <c r="W62" s="142"/>
      <c r="X62" s="142"/>
      <c r="Y62" s="142"/>
      <c r="Z62" s="142"/>
    </row>
    <row r="63" spans="1:26">
      <c r="A63" s="142"/>
      <c r="B63" s="142"/>
      <c r="C63" s="142"/>
      <c r="D63" s="142"/>
      <c r="F63" s="142"/>
      <c r="G63" s="142"/>
      <c r="H63" s="142"/>
      <c r="I63" s="142"/>
      <c r="J63" s="142"/>
      <c r="K63" s="142"/>
      <c r="L63" s="142"/>
      <c r="M63" s="142"/>
      <c r="N63" s="142"/>
      <c r="O63" s="142"/>
      <c r="P63" s="142"/>
      <c r="Q63" s="142"/>
      <c r="R63" s="142"/>
      <c r="S63" s="142"/>
      <c r="T63" s="142"/>
      <c r="U63" s="142"/>
      <c r="V63" s="142"/>
      <c r="W63" s="142"/>
      <c r="X63" s="142"/>
      <c r="Y63" s="142"/>
      <c r="Z63" s="142"/>
    </row>
    <row r="64" spans="1:26">
      <c r="A64" s="142"/>
      <c r="B64" s="142"/>
      <c r="C64" s="142"/>
      <c r="D64" s="142"/>
      <c r="F64" s="142"/>
      <c r="G64" s="142"/>
      <c r="H64" s="142"/>
      <c r="I64" s="142"/>
      <c r="J64" s="142"/>
      <c r="K64" s="142"/>
      <c r="L64" s="142"/>
      <c r="M64" s="142"/>
      <c r="N64" s="142"/>
      <c r="O64" s="142"/>
      <c r="P64" s="142"/>
      <c r="Q64" s="142"/>
      <c r="R64" s="142"/>
      <c r="S64" s="142"/>
      <c r="T64" s="142"/>
      <c r="U64" s="142"/>
      <c r="V64" s="142"/>
      <c r="W64" s="142"/>
      <c r="X64" s="142"/>
      <c r="Y64" s="142"/>
      <c r="Z64" s="142"/>
    </row>
    <row r="65" spans="1:26">
      <c r="A65" s="142"/>
      <c r="B65" s="142"/>
      <c r="C65" s="142"/>
      <c r="D65" s="142"/>
      <c r="F65" s="142"/>
      <c r="G65" s="142"/>
      <c r="H65" s="142"/>
      <c r="I65" s="142"/>
      <c r="J65" s="142"/>
      <c r="K65" s="142"/>
      <c r="L65" s="142"/>
      <c r="M65" s="142"/>
      <c r="N65" s="142"/>
      <c r="O65" s="142"/>
      <c r="P65" s="142"/>
      <c r="Q65" s="142"/>
      <c r="R65" s="142"/>
      <c r="S65" s="142"/>
      <c r="T65" s="142"/>
      <c r="U65" s="142"/>
      <c r="V65" s="142"/>
      <c r="W65" s="142"/>
      <c r="X65" s="142"/>
      <c r="Y65" s="142"/>
      <c r="Z65" s="142"/>
    </row>
    <row r="66" spans="1:26">
      <c r="A66" s="142"/>
      <c r="B66" s="142"/>
      <c r="C66" s="142"/>
      <c r="D66" s="142"/>
      <c r="F66" s="142"/>
      <c r="G66" s="142"/>
      <c r="H66" s="142"/>
      <c r="I66" s="142"/>
      <c r="J66" s="142"/>
      <c r="K66" s="142"/>
      <c r="L66" s="142"/>
      <c r="M66" s="142"/>
      <c r="N66" s="142"/>
      <c r="O66" s="142"/>
      <c r="P66" s="142"/>
      <c r="Q66" s="142"/>
      <c r="R66" s="142"/>
      <c r="S66" s="142"/>
      <c r="T66" s="142"/>
      <c r="U66" s="142"/>
      <c r="V66" s="142"/>
      <c r="W66" s="142"/>
      <c r="X66" s="142"/>
      <c r="Y66" s="142"/>
      <c r="Z66" s="142"/>
    </row>
    <row r="67" spans="1:26">
      <c r="A67" s="142"/>
      <c r="B67" s="142"/>
      <c r="C67" s="142"/>
      <c r="D67" s="142"/>
      <c r="F67" s="142"/>
      <c r="G67" s="142"/>
      <c r="H67" s="142"/>
      <c r="I67" s="142"/>
      <c r="J67" s="142"/>
      <c r="K67" s="142"/>
      <c r="L67" s="142"/>
      <c r="M67" s="142"/>
      <c r="N67" s="142"/>
      <c r="O67" s="142"/>
      <c r="P67" s="142"/>
      <c r="Q67" s="142"/>
      <c r="R67" s="142"/>
      <c r="S67" s="142"/>
      <c r="T67" s="142"/>
      <c r="U67" s="142"/>
      <c r="V67" s="142"/>
      <c r="W67" s="142"/>
      <c r="X67" s="142"/>
      <c r="Y67" s="142"/>
      <c r="Z67" s="142"/>
    </row>
    <row r="68" spans="1:26">
      <c r="A68" s="142"/>
      <c r="B68" s="142"/>
      <c r="C68" s="142"/>
      <c r="D68" s="142"/>
      <c r="F68" s="142"/>
      <c r="G68" s="142"/>
      <c r="H68" s="142"/>
      <c r="I68" s="142"/>
      <c r="J68" s="142"/>
      <c r="K68" s="142"/>
      <c r="L68" s="142"/>
      <c r="M68" s="142"/>
      <c r="N68" s="142"/>
      <c r="O68" s="142"/>
      <c r="P68" s="142"/>
      <c r="Q68" s="142"/>
      <c r="R68" s="142"/>
      <c r="S68" s="142"/>
      <c r="T68" s="142"/>
      <c r="U68" s="142"/>
      <c r="V68" s="142"/>
      <c r="W68" s="142"/>
      <c r="X68" s="142"/>
      <c r="Y68" s="142"/>
      <c r="Z68" s="142"/>
    </row>
    <row r="69" spans="1:26">
      <c r="A69" s="142"/>
      <c r="B69" s="142"/>
      <c r="C69" s="142"/>
      <c r="D69" s="142"/>
      <c r="F69" s="142"/>
      <c r="G69" s="142"/>
      <c r="H69" s="142"/>
      <c r="I69" s="142"/>
      <c r="J69" s="142"/>
      <c r="K69" s="142"/>
      <c r="L69" s="142"/>
      <c r="M69" s="142"/>
      <c r="N69" s="142"/>
      <c r="O69" s="142"/>
      <c r="P69" s="142"/>
      <c r="Q69" s="142"/>
      <c r="R69" s="142"/>
      <c r="S69" s="142"/>
      <c r="T69" s="142"/>
      <c r="U69" s="142"/>
      <c r="V69" s="142"/>
      <c r="W69" s="142"/>
      <c r="X69" s="142"/>
      <c r="Y69" s="142"/>
      <c r="Z69" s="142"/>
    </row>
    <row r="70" spans="1:26">
      <c r="A70" s="142"/>
      <c r="B70" s="142"/>
      <c r="C70" s="142"/>
      <c r="D70" s="142"/>
      <c r="F70" s="142"/>
      <c r="G70" s="142"/>
      <c r="H70" s="142"/>
      <c r="I70" s="142"/>
      <c r="J70" s="142"/>
      <c r="K70" s="142"/>
      <c r="L70" s="142"/>
      <c r="M70" s="142"/>
      <c r="N70" s="142"/>
      <c r="O70" s="142"/>
      <c r="P70" s="142"/>
      <c r="Q70" s="142"/>
      <c r="R70" s="142"/>
      <c r="S70" s="142"/>
      <c r="T70" s="142"/>
      <c r="U70" s="142"/>
      <c r="V70" s="142"/>
      <c r="W70" s="142"/>
      <c r="X70" s="142"/>
      <c r="Y70" s="142"/>
      <c r="Z70" s="142"/>
    </row>
    <row r="71" spans="1:26">
      <c r="A71" s="142"/>
      <c r="B71" s="142"/>
      <c r="C71" s="142"/>
      <c r="D71" s="142"/>
      <c r="F71" s="142"/>
      <c r="G71" s="142"/>
      <c r="H71" s="142"/>
      <c r="I71" s="142"/>
      <c r="J71" s="142"/>
      <c r="K71" s="142"/>
      <c r="L71" s="142"/>
      <c r="M71" s="142"/>
      <c r="N71" s="142"/>
      <c r="O71" s="142"/>
      <c r="P71" s="142"/>
      <c r="Q71" s="142"/>
      <c r="R71" s="142"/>
      <c r="S71" s="142"/>
      <c r="T71" s="142"/>
      <c r="U71" s="142"/>
      <c r="V71" s="142"/>
      <c r="W71" s="142"/>
      <c r="X71" s="142"/>
      <c r="Y71" s="142"/>
      <c r="Z71" s="142"/>
    </row>
    <row r="72" spans="1:26">
      <c r="A72" s="142"/>
      <c r="B72" s="142"/>
      <c r="C72" s="142"/>
      <c r="D72" s="142"/>
      <c r="F72" s="142"/>
      <c r="G72" s="142"/>
      <c r="H72" s="142"/>
      <c r="I72" s="142"/>
      <c r="J72" s="142"/>
      <c r="K72" s="142"/>
      <c r="L72" s="142"/>
      <c r="M72" s="142"/>
      <c r="N72" s="142"/>
      <c r="O72" s="142"/>
      <c r="P72" s="142"/>
      <c r="Q72" s="142"/>
      <c r="R72" s="142"/>
      <c r="S72" s="142"/>
      <c r="T72" s="142"/>
      <c r="U72" s="142"/>
      <c r="V72" s="142"/>
      <c r="W72" s="142"/>
      <c r="X72" s="142"/>
      <c r="Y72" s="142"/>
      <c r="Z72" s="142"/>
    </row>
    <row r="73" spans="1:26">
      <c r="A73" s="142"/>
      <c r="B73" s="142"/>
      <c r="C73" s="142"/>
      <c r="D73" s="142"/>
      <c r="F73" s="142"/>
      <c r="G73" s="142"/>
      <c r="H73" s="142"/>
      <c r="I73" s="142"/>
      <c r="J73" s="142"/>
      <c r="K73" s="142"/>
      <c r="L73" s="142"/>
      <c r="M73" s="142"/>
      <c r="N73" s="142"/>
      <c r="O73" s="142"/>
      <c r="P73" s="142"/>
      <c r="Q73" s="142"/>
      <c r="R73" s="142"/>
      <c r="S73" s="142"/>
      <c r="T73" s="142"/>
      <c r="U73" s="142"/>
      <c r="V73" s="142"/>
      <c r="W73" s="142"/>
      <c r="X73" s="142"/>
      <c r="Y73" s="142"/>
      <c r="Z73" s="142"/>
    </row>
    <row r="74" spans="1:26">
      <c r="A74" s="142"/>
      <c r="B74" s="142"/>
      <c r="C74" s="142"/>
      <c r="D74" s="142"/>
      <c r="F74" s="142"/>
      <c r="G74" s="142"/>
      <c r="H74" s="142"/>
      <c r="I74" s="142"/>
      <c r="J74" s="142"/>
      <c r="K74" s="142"/>
      <c r="L74" s="142"/>
      <c r="M74" s="142"/>
      <c r="N74" s="142"/>
      <c r="O74" s="142"/>
      <c r="P74" s="142"/>
      <c r="Q74" s="142"/>
      <c r="R74" s="142"/>
      <c r="S74" s="142"/>
      <c r="T74" s="142"/>
      <c r="U74" s="142"/>
      <c r="V74" s="142"/>
      <c r="W74" s="142"/>
      <c r="X74" s="142"/>
      <c r="Y74" s="142"/>
      <c r="Z74" s="142"/>
    </row>
    <row r="75" spans="1:26">
      <c r="A75" s="142"/>
      <c r="B75" s="142"/>
      <c r="C75" s="142"/>
      <c r="D75" s="142"/>
      <c r="F75" s="142"/>
      <c r="G75" s="142"/>
      <c r="H75" s="142"/>
      <c r="I75" s="142"/>
      <c r="J75" s="142"/>
      <c r="K75" s="142"/>
      <c r="L75" s="142"/>
      <c r="M75" s="142"/>
      <c r="N75" s="142"/>
      <c r="O75" s="142"/>
      <c r="P75" s="142"/>
      <c r="Q75" s="142"/>
      <c r="R75" s="142"/>
      <c r="S75" s="142"/>
      <c r="T75" s="142"/>
      <c r="U75" s="142"/>
      <c r="V75" s="142"/>
      <c r="W75" s="142"/>
      <c r="X75" s="142"/>
      <c r="Y75" s="142"/>
      <c r="Z75" s="142"/>
    </row>
    <row r="76" spans="1:26">
      <c r="A76" s="142"/>
      <c r="B76" s="142"/>
      <c r="C76" s="142"/>
      <c r="D76" s="142"/>
      <c r="F76" s="142"/>
      <c r="G76" s="142"/>
      <c r="H76" s="142"/>
      <c r="I76" s="142"/>
      <c r="J76" s="142"/>
      <c r="K76" s="142"/>
      <c r="L76" s="142"/>
      <c r="M76" s="142"/>
      <c r="N76" s="142"/>
      <c r="O76" s="142"/>
      <c r="P76" s="142"/>
      <c r="Q76" s="142"/>
      <c r="R76" s="142"/>
      <c r="S76" s="142"/>
      <c r="T76" s="142"/>
      <c r="U76" s="142"/>
      <c r="V76" s="142"/>
      <c r="W76" s="142"/>
      <c r="X76" s="142"/>
      <c r="Y76" s="142"/>
      <c r="Z76" s="142"/>
    </row>
    <row r="77" spans="1:26">
      <c r="A77" s="142"/>
      <c r="B77" s="142"/>
      <c r="C77" s="142"/>
      <c r="D77" s="142"/>
      <c r="F77" s="142"/>
      <c r="G77" s="142"/>
      <c r="H77" s="142"/>
      <c r="I77" s="142"/>
      <c r="J77" s="142"/>
      <c r="K77" s="142"/>
      <c r="L77" s="142"/>
      <c r="M77" s="142"/>
      <c r="N77" s="142"/>
      <c r="O77" s="142"/>
      <c r="P77" s="142"/>
      <c r="Q77" s="142"/>
      <c r="R77" s="142"/>
      <c r="S77" s="142"/>
      <c r="T77" s="142"/>
      <c r="U77" s="142"/>
      <c r="V77" s="142"/>
      <c r="W77" s="142"/>
      <c r="X77" s="142"/>
      <c r="Y77" s="142"/>
      <c r="Z77" s="142"/>
    </row>
    <row r="78" spans="1:26">
      <c r="A78" s="142"/>
      <c r="B78" s="142"/>
      <c r="C78" s="142"/>
      <c r="D78" s="142"/>
      <c r="F78" s="142"/>
      <c r="G78" s="142"/>
      <c r="H78" s="142"/>
      <c r="I78" s="142"/>
      <c r="J78" s="142"/>
      <c r="K78" s="142"/>
      <c r="L78" s="142"/>
      <c r="M78" s="142"/>
      <c r="N78" s="142"/>
      <c r="O78" s="142"/>
      <c r="P78" s="142"/>
      <c r="Q78" s="142"/>
      <c r="R78" s="142"/>
      <c r="S78" s="142"/>
      <c r="T78" s="142"/>
      <c r="U78" s="142"/>
      <c r="V78" s="142"/>
      <c r="W78" s="142"/>
      <c r="X78" s="142"/>
      <c r="Y78" s="142"/>
      <c r="Z78" s="142"/>
    </row>
    <row r="79" spans="1:26">
      <c r="A79" s="142"/>
      <c r="B79" s="142"/>
      <c r="C79" s="142"/>
      <c r="D79" s="142"/>
      <c r="F79" s="142"/>
      <c r="G79" s="142"/>
      <c r="H79" s="142"/>
      <c r="I79" s="142"/>
      <c r="J79" s="142"/>
      <c r="K79" s="142"/>
      <c r="L79" s="142"/>
      <c r="M79" s="142"/>
      <c r="N79" s="142"/>
      <c r="O79" s="142"/>
      <c r="P79" s="142"/>
      <c r="Q79" s="142"/>
      <c r="R79" s="142"/>
      <c r="S79" s="142"/>
      <c r="T79" s="142"/>
      <c r="U79" s="142"/>
      <c r="V79" s="142"/>
      <c r="W79" s="142"/>
      <c r="X79" s="142"/>
      <c r="Y79" s="142"/>
      <c r="Z79" s="142"/>
    </row>
    <row r="80" spans="1:26">
      <c r="A80" s="142"/>
      <c r="B80" s="142"/>
      <c r="C80" s="142"/>
      <c r="D80" s="142"/>
      <c r="F80" s="142"/>
      <c r="G80" s="142"/>
      <c r="H80" s="142"/>
      <c r="I80" s="142"/>
      <c r="J80" s="142"/>
      <c r="K80" s="142"/>
      <c r="L80" s="142"/>
      <c r="M80" s="142"/>
      <c r="N80" s="142"/>
      <c r="O80" s="142"/>
      <c r="P80" s="142"/>
      <c r="Q80" s="142"/>
      <c r="R80" s="142"/>
      <c r="S80" s="142"/>
      <c r="T80" s="142"/>
      <c r="U80" s="142"/>
      <c r="V80" s="142"/>
      <c r="W80" s="142"/>
      <c r="X80" s="142"/>
      <c r="Y80" s="142"/>
      <c r="Z80" s="142"/>
    </row>
    <row r="81" spans="1:26">
      <c r="A81" s="142"/>
      <c r="B81" s="142"/>
      <c r="C81" s="142"/>
      <c r="D81" s="142"/>
      <c r="F81" s="142"/>
      <c r="G81" s="142"/>
      <c r="H81" s="142"/>
      <c r="I81" s="142"/>
      <c r="J81" s="142"/>
      <c r="K81" s="142"/>
      <c r="L81" s="142"/>
      <c r="M81" s="142"/>
      <c r="N81" s="142"/>
      <c r="O81" s="142"/>
      <c r="P81" s="142"/>
      <c r="Q81" s="142"/>
      <c r="R81" s="142"/>
      <c r="S81" s="142"/>
      <c r="T81" s="142"/>
      <c r="U81" s="142"/>
      <c r="V81" s="142"/>
      <c r="W81" s="142"/>
      <c r="X81" s="142"/>
      <c r="Y81" s="142"/>
      <c r="Z81" s="142"/>
    </row>
  </sheetData>
  <mergeCells count="20">
    <mergeCell ref="B60:C60"/>
    <mergeCell ref="H28:J28"/>
    <mergeCell ref="H29:I29"/>
    <mergeCell ref="H30:J30"/>
    <mergeCell ref="B32:D32"/>
    <mergeCell ref="B39:D39"/>
    <mergeCell ref="B42:C42"/>
    <mergeCell ref="B43:C43"/>
    <mergeCell ref="B47:C47"/>
    <mergeCell ref="B48:C48"/>
    <mergeCell ref="B51:D51"/>
    <mergeCell ref="B59:C59"/>
    <mergeCell ref="G39:J39"/>
    <mergeCell ref="G40:J40"/>
    <mergeCell ref="H27:I27"/>
    <mergeCell ref="B1:D1"/>
    <mergeCell ref="B2:D2"/>
    <mergeCell ref="B25:D25"/>
    <mergeCell ref="B26:D26"/>
    <mergeCell ref="G26:J26"/>
  </mergeCells>
  <conditionalFormatting sqref="D41">
    <cfRule type="expression" dxfId="130" priority="15" stopIfTrue="1">
      <formula>D17="ja"</formula>
    </cfRule>
  </conditionalFormatting>
  <conditionalFormatting sqref="B40">
    <cfRule type="expression" dxfId="129" priority="16" stopIfTrue="1">
      <formula>D17="ja"</formula>
    </cfRule>
  </conditionalFormatting>
  <conditionalFormatting sqref="C40">
    <cfRule type="expression" dxfId="128" priority="17" stopIfTrue="1">
      <formula>D17="ja"</formula>
    </cfRule>
  </conditionalFormatting>
  <conditionalFormatting sqref="G28">
    <cfRule type="expression" dxfId="127" priority="18" stopIfTrue="1">
      <formula>D17="ja"</formula>
    </cfRule>
  </conditionalFormatting>
  <conditionalFormatting sqref="G29 D45">
    <cfRule type="expression" dxfId="126" priority="19" stopIfTrue="1">
      <formula>ISERROR(D29)</formula>
    </cfRule>
  </conditionalFormatting>
  <conditionalFormatting sqref="B41">
    <cfRule type="expression" dxfId="125" priority="20" stopIfTrue="1">
      <formula>D17="ja"</formula>
    </cfRule>
  </conditionalFormatting>
  <conditionalFormatting sqref="B42:C42">
    <cfRule type="expression" dxfId="124" priority="21" stopIfTrue="1">
      <formula>$D$17="ja"</formula>
    </cfRule>
  </conditionalFormatting>
  <conditionalFormatting sqref="B43:C43">
    <cfRule type="expression" dxfId="123" priority="22" stopIfTrue="1">
      <formula>D17="ja"</formula>
    </cfRule>
  </conditionalFormatting>
  <conditionalFormatting sqref="H27:I27">
    <cfRule type="expression" dxfId="122" priority="23" stopIfTrue="1">
      <formula>D17="ja"</formula>
    </cfRule>
  </conditionalFormatting>
  <conditionalFormatting sqref="C45">
    <cfRule type="expression" dxfId="121" priority="24" stopIfTrue="1">
      <formula>D17="ja"</formula>
    </cfRule>
  </conditionalFormatting>
  <conditionalFormatting sqref="G27">
    <cfRule type="expression" dxfId="120" priority="26" stopIfTrue="1">
      <formula>$D$40=0</formula>
    </cfRule>
    <cfRule type="expression" dxfId="119" priority="27" stopIfTrue="1">
      <formula>ISERROR($G$27)</formula>
    </cfRule>
    <cfRule type="containsErrors" dxfId="118" priority="43">
      <formula>ISERROR(G27)</formula>
    </cfRule>
  </conditionalFormatting>
  <conditionalFormatting sqref="D42">
    <cfRule type="expression" dxfId="117" priority="28" stopIfTrue="1">
      <formula>ISERROR($D$42)</formula>
    </cfRule>
  </conditionalFormatting>
  <conditionalFormatting sqref="H15">
    <cfRule type="expression" dxfId="116" priority="29" stopIfTrue="1">
      <formula>ISERROR($H$15)</formula>
    </cfRule>
  </conditionalFormatting>
  <conditionalFormatting sqref="D47">
    <cfRule type="expression" dxfId="115" priority="30" stopIfTrue="1">
      <formula>ISERROR(D47)</formula>
    </cfRule>
    <cfRule type="expression" dxfId="114" priority="31" stopIfTrue="1">
      <formula>$D$47=0</formula>
    </cfRule>
  </conditionalFormatting>
  <conditionalFormatting sqref="D48">
    <cfRule type="expression" dxfId="113" priority="32" stopIfTrue="1">
      <formula>ISERROR(D48)</formula>
    </cfRule>
    <cfRule type="expression" dxfId="112" priority="33" stopIfTrue="1">
      <formula>$D$48=$D$46</formula>
    </cfRule>
  </conditionalFormatting>
  <conditionalFormatting sqref="D46">
    <cfRule type="expression" dxfId="111" priority="34" stopIfTrue="1">
      <formula>ISERROR($D$46)</formula>
    </cfRule>
  </conditionalFormatting>
  <conditionalFormatting sqref="C56">
    <cfRule type="expression" dxfId="110" priority="35" stopIfTrue="1">
      <formula>ISERROR($C$56)</formula>
    </cfRule>
  </conditionalFormatting>
  <conditionalFormatting sqref="C57">
    <cfRule type="expression" dxfId="109" priority="36" stopIfTrue="1">
      <formula>ISERROR($C$57)</formula>
    </cfRule>
  </conditionalFormatting>
  <conditionalFormatting sqref="D56">
    <cfRule type="expression" dxfId="108" priority="37" stopIfTrue="1">
      <formula>ISERROR($D$56)</formula>
    </cfRule>
  </conditionalFormatting>
  <conditionalFormatting sqref="D57">
    <cfRule type="expression" dxfId="107" priority="38" stopIfTrue="1">
      <formula>ISERROR($D$57)</formula>
    </cfRule>
  </conditionalFormatting>
  <conditionalFormatting sqref="D40">
    <cfRule type="expression" dxfId="106" priority="39" stopIfTrue="1">
      <formula>D17="ja"</formula>
    </cfRule>
    <cfRule type="expression" dxfId="105" priority="40" stopIfTrue="1">
      <formula>ISERROR(D40)</formula>
    </cfRule>
    <cfRule type="containsErrors" dxfId="104" priority="42">
      <formula>ISERROR(D40)</formula>
    </cfRule>
  </conditionalFormatting>
  <conditionalFormatting sqref="C4:D6 C8:D10 D14 D16">
    <cfRule type="cellIs" dxfId="103" priority="14" operator="equal">
      <formula>0</formula>
    </cfRule>
  </conditionalFormatting>
  <conditionalFormatting sqref="D20">
    <cfRule type="cellIs" dxfId="102" priority="13" operator="equal">
      <formula>0</formula>
    </cfRule>
  </conditionalFormatting>
  <conditionalFormatting sqref="D20 D22 D29:D30 D35:D37">
    <cfRule type="cellIs" dxfId="101" priority="12" operator="equal">
      <formula>0</formula>
    </cfRule>
  </conditionalFormatting>
  <conditionalFormatting sqref="G15">
    <cfRule type="cellIs" dxfId="100" priority="11" operator="equal">
      <formula>0</formula>
    </cfRule>
  </conditionalFormatting>
  <conditionalFormatting sqref="C12">
    <cfRule type="cellIs" dxfId="99" priority="8" operator="equal">
      <formula>0</formula>
    </cfRule>
  </conditionalFormatting>
  <conditionalFormatting sqref="D46 D48">
    <cfRule type="containsErrors" dxfId="98" priority="7">
      <formula>ISERROR(D46)</formula>
    </cfRule>
  </conditionalFormatting>
  <conditionalFormatting sqref="D45:D48">
    <cfRule type="containsErrors" dxfId="97" priority="6">
      <formula>ISERROR(D45)</formula>
    </cfRule>
  </conditionalFormatting>
  <conditionalFormatting sqref="C54:D54">
    <cfRule type="cellIs" dxfId="96" priority="5" operator="equal">
      <formula>0</formula>
    </cfRule>
  </conditionalFormatting>
  <conditionalFormatting sqref="G29:G30">
    <cfRule type="cellIs" dxfId="95" priority="3" operator="equal">
      <formula>-100%</formula>
    </cfRule>
    <cfRule type="cellIs" dxfId="94" priority="4" operator="equal">
      <formula>0</formula>
    </cfRule>
  </conditionalFormatting>
  <conditionalFormatting sqref="G30">
    <cfRule type="containsErrors" dxfId="93" priority="2">
      <formula>ISERROR(G30)</formula>
    </cfRule>
  </conditionalFormatting>
  <dataValidations count="2">
    <dataValidation type="list" allowBlank="1" showInputMessage="1" showErrorMessage="1" sqref="F1">
      <formula1>"NO,WL"</formula1>
    </dataValidation>
    <dataValidation type="list" allowBlank="1" showInputMessage="1" showErrorMessage="1" sqref="D17">
      <formula1>"nein,ja"</formula1>
    </dataValidation>
  </dataValidations>
  <printOptions horizontalCentered="1" verticalCentered="1"/>
  <pageMargins left="0.31496062992125984" right="0.15748031496062992" top="0.47244094488188981" bottom="0.43307086614173229" header="0.19685039370078741" footer="0.15748031496062992"/>
  <pageSetup paperSize="9" scale="75"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id="{0B9FB2C3-5F7A-45DF-835B-F6458BB5E536}">
            <xm:f>'Copy &amp; Paste'!$I$1&lt;&gt;"BEK Schade"</xm:f>
            <x14:dxf>
              <font>
                <color theme="0"/>
              </font>
            </x14:dxf>
          </x14:cfRule>
          <xm:sqref>F3</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1">
    <tabColor theme="7"/>
    <pageSetUpPr fitToPage="1"/>
  </sheetPr>
  <dimension ref="A1:X54"/>
  <sheetViews>
    <sheetView topLeftCell="B1" zoomScaleNormal="100" workbookViewId="0">
      <selection activeCell="V30" sqref="V30"/>
    </sheetView>
  </sheetViews>
  <sheetFormatPr baseColWidth="10" defaultColWidth="11.42578125" defaultRowHeight="12.75"/>
  <cols>
    <col min="1" max="1" width="4" style="2024" customWidth="1"/>
    <col min="2" max="2" width="16.7109375" style="2024" customWidth="1"/>
    <col min="3" max="3" width="12.5703125" style="2024" customWidth="1"/>
    <col min="4" max="6" width="13.140625" style="2024" customWidth="1"/>
    <col min="7" max="7" width="8.28515625" style="2024" customWidth="1"/>
    <col min="8" max="12" width="13.140625" style="2024" customWidth="1"/>
    <col min="13" max="13" width="8.28515625" style="2024" customWidth="1"/>
    <col min="14" max="17" width="13.140625" style="2024" customWidth="1"/>
    <col min="18" max="18" width="9.7109375" style="2022" customWidth="1"/>
    <col min="19" max="19" width="4.28515625" style="2022" customWidth="1"/>
    <col min="20" max="16384" width="11.42578125" style="2024"/>
  </cols>
  <sheetData>
    <row r="1" spans="1:24" ht="23.25">
      <c r="A1" s="4744" t="s">
        <v>1218</v>
      </c>
      <c r="B1" s="4745"/>
      <c r="C1" s="4745"/>
      <c r="D1" s="4745"/>
      <c r="E1" s="4745"/>
      <c r="F1" s="4745"/>
      <c r="G1" s="4745"/>
      <c r="H1" s="4745"/>
      <c r="I1" s="4745"/>
      <c r="J1" s="4745"/>
      <c r="K1" s="4745"/>
      <c r="L1" s="4745"/>
      <c r="M1" s="4745"/>
      <c r="N1" s="4745"/>
      <c r="O1" s="4745"/>
      <c r="P1" s="4745"/>
      <c r="Q1" s="4745"/>
      <c r="R1" s="4746"/>
      <c r="T1" s="2023"/>
      <c r="U1" s="2015" t="s">
        <v>1256</v>
      </c>
    </row>
    <row r="2" spans="1:24" ht="21">
      <c r="A2" s="4747" t="s">
        <v>1447</v>
      </c>
      <c r="B2" s="4748"/>
      <c r="C2" s="4748"/>
      <c r="D2" s="4748"/>
      <c r="E2" s="4748"/>
      <c r="F2" s="4748"/>
      <c r="G2" s="4748"/>
      <c r="H2" s="4748"/>
      <c r="I2" s="4748"/>
      <c r="J2" s="4748"/>
      <c r="K2" s="4748"/>
      <c r="L2" s="4748"/>
      <c r="M2" s="4748"/>
      <c r="N2" s="4748"/>
      <c r="O2" s="4748"/>
      <c r="P2" s="4748"/>
      <c r="Q2" s="4748"/>
      <c r="R2" s="4749"/>
      <c r="T2" s="2025"/>
      <c r="U2" s="2015" t="s">
        <v>1076</v>
      </c>
    </row>
    <row r="3" spans="1:24" ht="23.25" customHeight="1" thickBot="1">
      <c r="A3" s="2026"/>
      <c r="B3" s="4750">
        <f>+'84 8 Übersicht'!C4</f>
        <v>0</v>
      </c>
      <c r="C3" s="4750"/>
      <c r="D3" s="4750"/>
      <c r="E3" s="4750"/>
      <c r="F3" s="4750"/>
      <c r="G3" s="4750"/>
      <c r="H3" s="2027"/>
      <c r="I3" s="4750">
        <f>'84 8 Übersicht'!C5</f>
        <v>0</v>
      </c>
      <c r="J3" s="4750"/>
      <c r="K3" s="4750"/>
      <c r="L3" s="2028"/>
      <c r="M3" s="2029"/>
      <c r="N3" s="2029">
        <f>'84 8 Übersicht'!C6</f>
        <v>0</v>
      </c>
      <c r="O3" s="4750">
        <f>'84 8 Übersicht'!D6</f>
        <v>0</v>
      </c>
      <c r="P3" s="4750"/>
      <c r="Q3" s="4750"/>
      <c r="R3" s="4751"/>
      <c r="T3" s="2030"/>
      <c r="U3" s="2015"/>
    </row>
    <row r="4" spans="1:24" ht="12.75" customHeight="1" thickBot="1">
      <c r="A4" s="2031"/>
      <c r="B4" s="2032"/>
      <c r="C4" s="2032"/>
      <c r="D4" s="2032"/>
      <c r="E4" s="2032"/>
      <c r="F4" s="2032"/>
      <c r="G4" s="2032"/>
      <c r="H4" s="2032"/>
      <c r="I4" s="2032"/>
      <c r="J4" s="2032"/>
      <c r="K4" s="2032"/>
      <c r="L4" s="2032"/>
      <c r="M4" s="2032"/>
      <c r="N4" s="2032"/>
      <c r="O4" s="2032"/>
      <c r="P4" s="2032"/>
      <c r="Q4" s="2032"/>
      <c r="R4" s="2033"/>
      <c r="T4" s="2016"/>
      <c r="U4" s="2021"/>
    </row>
    <row r="5" spans="1:24" ht="24.75" customHeight="1" thickBot="1">
      <c r="A5" s="2031"/>
      <c r="B5" s="2034" t="s">
        <v>1109</v>
      </c>
      <c r="C5" s="2035" t="s">
        <v>2004</v>
      </c>
      <c r="D5" s="4741">
        <f>'Copy &amp; Paste'!G13</f>
        <v>0</v>
      </c>
      <c r="E5" s="4742"/>
      <c r="F5" s="4743"/>
      <c r="G5" s="215"/>
      <c r="H5" s="216" t="s">
        <v>1602</v>
      </c>
      <c r="I5" s="410"/>
      <c r="J5" s="217">
        <f>EOMONTH(I5,11)</f>
        <v>366</v>
      </c>
      <c r="K5" s="2036"/>
      <c r="L5" s="2037"/>
      <c r="M5" s="218"/>
      <c r="N5" s="219" t="s">
        <v>1601</v>
      </c>
      <c r="O5" s="2038"/>
      <c r="P5" s="330">
        <f>'Copy &amp; Paste'!G21</f>
        <v>45717</v>
      </c>
      <c r="Q5" s="388">
        <f>EOMONTH(P5,11)</f>
        <v>46081</v>
      </c>
      <c r="R5" s="2033"/>
      <c r="T5" s="2039"/>
      <c r="U5" s="2021"/>
      <c r="V5" s="144"/>
    </row>
    <row r="6" spans="1:24" ht="24.75" customHeight="1">
      <c r="A6" s="2040"/>
      <c r="B6" s="2032"/>
      <c r="C6" s="2032"/>
      <c r="D6" s="2032"/>
      <c r="E6" s="2032"/>
      <c r="F6" s="2032"/>
      <c r="G6" s="2041"/>
      <c r="H6" s="220" t="s">
        <v>1110</v>
      </c>
      <c r="I6" s="646"/>
      <c r="J6" s="221" t="s">
        <v>1111</v>
      </c>
      <c r="K6" s="386">
        <v>20</v>
      </c>
      <c r="L6" s="222"/>
      <c r="M6" s="223"/>
      <c r="N6" s="224" t="s">
        <v>1112</v>
      </c>
      <c r="O6" s="387">
        <f>+'84 8 Übersicht'!D20</f>
        <v>0</v>
      </c>
      <c r="P6" s="2042"/>
      <c r="Q6" s="225"/>
      <c r="R6" s="2033"/>
      <c r="T6" s="2016"/>
      <c r="U6" s="144"/>
      <c r="V6" s="144"/>
      <c r="X6" s="2043"/>
    </row>
    <row r="7" spans="1:24" ht="24.95" customHeight="1" thickBot="1">
      <c r="A7" s="2040"/>
      <c r="B7" s="2044"/>
      <c r="C7" s="2044"/>
      <c r="D7" s="2044"/>
      <c r="E7" s="2044"/>
      <c r="F7" s="226"/>
      <c r="G7" s="4752">
        <f>IF(ISNUMBER(K6),+I6/12/K6,"Maßstab?")</f>
        <v>0</v>
      </c>
      <c r="H7" s="4753"/>
      <c r="I7" s="4754" t="s">
        <v>1113</v>
      </c>
      <c r="J7" s="4755"/>
      <c r="K7" s="626" t="str">
        <f>G32</f>
        <v/>
      </c>
      <c r="L7" s="4756" t="s">
        <v>1114</v>
      </c>
      <c r="M7" s="4757"/>
      <c r="N7" s="4758"/>
      <c r="O7" s="625">
        <f>O6/12/20</f>
        <v>0</v>
      </c>
      <c r="P7" s="227" t="s">
        <v>1111</v>
      </c>
      <c r="Q7" s="389">
        <f>+'84 8 Übersicht'!D21</f>
        <v>20</v>
      </c>
      <c r="R7" s="2045"/>
    </row>
    <row r="8" spans="1:24" ht="24.95" customHeight="1" thickBot="1">
      <c r="A8" s="2040"/>
      <c r="B8" s="2044"/>
      <c r="C8" s="2044"/>
      <c r="D8" s="2044"/>
      <c r="E8" s="2044"/>
      <c r="F8" s="226"/>
      <c r="G8" s="4759" t="s">
        <v>1115</v>
      </c>
      <c r="H8" s="4760"/>
      <c r="I8" s="4760"/>
      <c r="J8" s="4760"/>
      <c r="K8" s="4761"/>
      <c r="L8" s="4759" t="s">
        <v>1597</v>
      </c>
      <c r="M8" s="4762"/>
      <c r="N8" s="4762"/>
      <c r="O8" s="4762"/>
      <c r="P8" s="4762"/>
      <c r="Q8" s="4763"/>
      <c r="R8" s="2045"/>
    </row>
    <row r="9" spans="1:24" ht="39" customHeight="1">
      <c r="A9" s="2040"/>
      <c r="B9" s="4779" t="s">
        <v>1353</v>
      </c>
      <c r="C9" s="4781" t="s">
        <v>1117</v>
      </c>
      <c r="D9" s="4782"/>
      <c r="E9" s="4739" t="s">
        <v>1118</v>
      </c>
      <c r="F9" s="4739" t="s">
        <v>1119</v>
      </c>
      <c r="G9" s="4739" t="s">
        <v>1120</v>
      </c>
      <c r="H9" s="228" t="s">
        <v>1121</v>
      </c>
      <c r="I9" s="228" t="s">
        <v>1122</v>
      </c>
      <c r="J9" s="4739" t="s">
        <v>1123</v>
      </c>
      <c r="K9" s="228" t="s">
        <v>1585</v>
      </c>
      <c r="L9" s="4739" t="s">
        <v>1119</v>
      </c>
      <c r="M9" s="4739" t="s">
        <v>1124</v>
      </c>
      <c r="N9" s="228" t="s">
        <v>1125</v>
      </c>
      <c r="O9" s="228" t="s">
        <v>1122</v>
      </c>
      <c r="P9" s="228" t="s">
        <v>1126</v>
      </c>
      <c r="Q9" s="228" t="s">
        <v>1585</v>
      </c>
      <c r="R9" s="228" t="s">
        <v>1127</v>
      </c>
      <c r="T9" s="2016"/>
      <c r="U9" s="4764"/>
      <c r="V9" s="4765"/>
    </row>
    <row r="10" spans="1:24" ht="13.5" thickBot="1">
      <c r="A10" s="2040"/>
      <c r="B10" s="4780"/>
      <c r="C10" s="4783"/>
      <c r="D10" s="4784"/>
      <c r="E10" s="4740"/>
      <c r="F10" s="4740"/>
      <c r="G10" s="4740"/>
      <c r="H10" s="2831" t="s">
        <v>1128</v>
      </c>
      <c r="I10" s="2831" t="s">
        <v>1129</v>
      </c>
      <c r="J10" s="4740"/>
      <c r="K10" s="2831" t="s">
        <v>1130</v>
      </c>
      <c r="L10" s="4740"/>
      <c r="M10" s="4740"/>
      <c r="N10" s="2831" t="s">
        <v>1151</v>
      </c>
      <c r="O10" s="2831" t="s">
        <v>1131</v>
      </c>
      <c r="P10" s="651"/>
      <c r="Q10" s="2831" t="s">
        <v>1132</v>
      </c>
      <c r="R10" s="651"/>
    </row>
    <row r="11" spans="1:24" ht="13.5" thickBot="1">
      <c r="A11" s="2046"/>
      <c r="B11" s="229">
        <v>1</v>
      </c>
      <c r="C11" s="4766">
        <v>2</v>
      </c>
      <c r="D11" s="4767"/>
      <c r="E11" s="652">
        <v>3</v>
      </c>
      <c r="F11" s="229">
        <v>4</v>
      </c>
      <c r="G11" s="229">
        <v>5</v>
      </c>
      <c r="H11" s="229">
        <v>6</v>
      </c>
      <c r="I11" s="229">
        <v>7</v>
      </c>
      <c r="J11" s="229">
        <v>8</v>
      </c>
      <c r="K11" s="229">
        <v>9</v>
      </c>
      <c r="L11" s="229">
        <v>10</v>
      </c>
      <c r="M11" s="229">
        <v>11</v>
      </c>
      <c r="N11" s="229">
        <v>12</v>
      </c>
      <c r="O11" s="229">
        <v>13</v>
      </c>
      <c r="P11" s="229">
        <v>14</v>
      </c>
      <c r="Q11" s="229">
        <v>15</v>
      </c>
      <c r="R11" s="229">
        <v>16</v>
      </c>
    </row>
    <row r="12" spans="1:24">
      <c r="A12" s="2047">
        <v>1</v>
      </c>
      <c r="B12" s="411"/>
      <c r="C12" s="412"/>
      <c r="D12" s="413"/>
      <c r="E12" s="414"/>
      <c r="F12" s="523"/>
      <c r="G12" s="627"/>
      <c r="H12" s="421"/>
      <c r="I12" s="390" t="str">
        <f>IF(G12="","",H12/G12)</f>
        <v/>
      </c>
      <c r="J12" s="423"/>
      <c r="K12" s="392" t="str">
        <f>IF(H12="","",H12+J12)</f>
        <v/>
      </c>
      <c r="L12" s="526"/>
      <c r="M12" s="630"/>
      <c r="N12" s="421"/>
      <c r="O12" s="390" t="str">
        <f>IF(M12="","",N12/M12)</f>
        <v/>
      </c>
      <c r="P12" s="423"/>
      <c r="Q12" s="394" t="str">
        <f>IF(N12="","",N12+P12)</f>
        <v/>
      </c>
      <c r="R12" s="395" t="str">
        <f>IF(M12="","",(N12/M12-H12/G12)/(H12/G12))</f>
        <v/>
      </c>
      <c r="T12" s="2048"/>
    </row>
    <row r="13" spans="1:24">
      <c r="A13" s="2047">
        <v>2</v>
      </c>
      <c r="B13" s="411"/>
      <c r="C13" s="415"/>
      <c r="D13" s="416"/>
      <c r="E13" s="414"/>
      <c r="F13" s="524"/>
      <c r="G13" s="627"/>
      <c r="H13" s="421"/>
      <c r="I13" s="390" t="str">
        <f t="shared" ref="I13:I30" si="0">IF(G13="","",H13/G13)</f>
        <v/>
      </c>
      <c r="J13" s="423"/>
      <c r="K13" s="392" t="str">
        <f t="shared" ref="K13:K30" si="1">IF(H13="","",H13+J13)</f>
        <v/>
      </c>
      <c r="L13" s="527"/>
      <c r="M13" s="630"/>
      <c r="N13" s="421"/>
      <c r="O13" s="390" t="str">
        <f t="shared" ref="O13:O30" si="2">IF(M13="","",N13/M13)</f>
        <v/>
      </c>
      <c r="P13" s="423"/>
      <c r="Q13" s="396" t="str">
        <f t="shared" ref="Q13:Q30" si="3">IF(N13="","",N13+P13)</f>
        <v/>
      </c>
      <c r="R13" s="395" t="str">
        <f t="shared" ref="R13:R30" si="4">IF(M13="","",(N13/M13-H13/G13)/(H13/G13))</f>
        <v/>
      </c>
    </row>
    <row r="14" spans="1:24">
      <c r="A14" s="2047">
        <v>3</v>
      </c>
      <c r="B14" s="411"/>
      <c r="C14" s="415"/>
      <c r="D14" s="416"/>
      <c r="E14" s="414"/>
      <c r="F14" s="524"/>
      <c r="G14" s="627"/>
      <c r="H14" s="421"/>
      <c r="I14" s="390" t="str">
        <f t="shared" si="0"/>
        <v/>
      </c>
      <c r="J14" s="423"/>
      <c r="K14" s="392" t="str">
        <f t="shared" si="1"/>
        <v/>
      </c>
      <c r="L14" s="527"/>
      <c r="M14" s="630"/>
      <c r="N14" s="421"/>
      <c r="O14" s="390" t="str">
        <f t="shared" si="2"/>
        <v/>
      </c>
      <c r="P14" s="423"/>
      <c r="Q14" s="396" t="str">
        <f t="shared" si="3"/>
        <v/>
      </c>
      <c r="R14" s="395" t="str">
        <f t="shared" si="4"/>
        <v/>
      </c>
    </row>
    <row r="15" spans="1:24">
      <c r="A15" s="2047">
        <v>4</v>
      </c>
      <c r="B15" s="411"/>
      <c r="C15" s="415"/>
      <c r="D15" s="416"/>
      <c r="E15" s="414"/>
      <c r="F15" s="524"/>
      <c r="G15" s="627"/>
      <c r="H15" s="421"/>
      <c r="I15" s="390" t="str">
        <f t="shared" si="0"/>
        <v/>
      </c>
      <c r="J15" s="423"/>
      <c r="K15" s="392" t="str">
        <f t="shared" si="1"/>
        <v/>
      </c>
      <c r="L15" s="527"/>
      <c r="M15" s="630"/>
      <c r="N15" s="421"/>
      <c r="O15" s="390" t="str">
        <f t="shared" si="2"/>
        <v/>
      </c>
      <c r="P15" s="423"/>
      <c r="Q15" s="396" t="str">
        <f t="shared" si="3"/>
        <v/>
      </c>
      <c r="R15" s="395" t="str">
        <f t="shared" si="4"/>
        <v/>
      </c>
    </row>
    <row r="16" spans="1:24">
      <c r="A16" s="2047">
        <v>5</v>
      </c>
      <c r="B16" s="411"/>
      <c r="C16" s="415"/>
      <c r="D16" s="416"/>
      <c r="E16" s="414"/>
      <c r="F16" s="524"/>
      <c r="G16" s="627"/>
      <c r="H16" s="421"/>
      <c r="I16" s="390" t="str">
        <f t="shared" si="0"/>
        <v/>
      </c>
      <c r="J16" s="423"/>
      <c r="K16" s="392" t="str">
        <f t="shared" si="1"/>
        <v/>
      </c>
      <c r="L16" s="527"/>
      <c r="M16" s="630"/>
      <c r="N16" s="421"/>
      <c r="O16" s="390" t="str">
        <f t="shared" si="2"/>
        <v/>
      </c>
      <c r="P16" s="423"/>
      <c r="Q16" s="396" t="str">
        <f t="shared" si="3"/>
        <v/>
      </c>
      <c r="R16" s="395" t="str">
        <f t="shared" si="4"/>
        <v/>
      </c>
    </row>
    <row r="17" spans="1:18">
      <c r="A17" s="2047">
        <v>6</v>
      </c>
      <c r="B17" s="411"/>
      <c r="C17" s="415"/>
      <c r="D17" s="416"/>
      <c r="E17" s="414"/>
      <c r="F17" s="523"/>
      <c r="G17" s="627"/>
      <c r="H17" s="421"/>
      <c r="I17" s="390" t="str">
        <f t="shared" si="0"/>
        <v/>
      </c>
      <c r="J17" s="423"/>
      <c r="K17" s="392" t="str">
        <f t="shared" si="1"/>
        <v/>
      </c>
      <c r="L17" s="527"/>
      <c r="M17" s="630"/>
      <c r="N17" s="421"/>
      <c r="O17" s="390" t="str">
        <f t="shared" si="2"/>
        <v/>
      </c>
      <c r="P17" s="423"/>
      <c r="Q17" s="396" t="str">
        <f t="shared" si="3"/>
        <v/>
      </c>
      <c r="R17" s="395" t="str">
        <f t="shared" si="4"/>
        <v/>
      </c>
    </row>
    <row r="18" spans="1:18">
      <c r="A18" s="2047">
        <v>7</v>
      </c>
      <c r="B18" s="411"/>
      <c r="C18" s="415"/>
      <c r="D18" s="416"/>
      <c r="E18" s="414"/>
      <c r="F18" s="524"/>
      <c r="G18" s="627"/>
      <c r="H18" s="421"/>
      <c r="I18" s="390" t="str">
        <f t="shared" si="0"/>
        <v/>
      </c>
      <c r="J18" s="423"/>
      <c r="K18" s="392" t="str">
        <f t="shared" si="1"/>
        <v/>
      </c>
      <c r="L18" s="527"/>
      <c r="M18" s="630"/>
      <c r="N18" s="421"/>
      <c r="O18" s="390" t="str">
        <f t="shared" si="2"/>
        <v/>
      </c>
      <c r="P18" s="423"/>
      <c r="Q18" s="396" t="str">
        <f t="shared" si="3"/>
        <v/>
      </c>
      <c r="R18" s="395" t="str">
        <f t="shared" si="4"/>
        <v/>
      </c>
    </row>
    <row r="19" spans="1:18">
      <c r="A19" s="2047">
        <v>8</v>
      </c>
      <c r="B19" s="411"/>
      <c r="C19" s="415"/>
      <c r="D19" s="416"/>
      <c r="E19" s="414"/>
      <c r="F19" s="524"/>
      <c r="G19" s="627"/>
      <c r="H19" s="421"/>
      <c r="I19" s="390" t="str">
        <f t="shared" si="0"/>
        <v/>
      </c>
      <c r="J19" s="423"/>
      <c r="K19" s="392" t="str">
        <f t="shared" si="1"/>
        <v/>
      </c>
      <c r="L19" s="527"/>
      <c r="M19" s="630"/>
      <c r="N19" s="421"/>
      <c r="O19" s="390" t="str">
        <f t="shared" si="2"/>
        <v/>
      </c>
      <c r="P19" s="423"/>
      <c r="Q19" s="396" t="str">
        <f t="shared" si="3"/>
        <v/>
      </c>
      <c r="R19" s="395" t="str">
        <f t="shared" si="4"/>
        <v/>
      </c>
    </row>
    <row r="20" spans="1:18">
      <c r="A20" s="2047">
        <v>9</v>
      </c>
      <c r="B20" s="411"/>
      <c r="C20" s="415"/>
      <c r="D20" s="416"/>
      <c r="E20" s="414"/>
      <c r="F20" s="524"/>
      <c r="G20" s="627"/>
      <c r="H20" s="421"/>
      <c r="I20" s="390" t="str">
        <f t="shared" si="0"/>
        <v/>
      </c>
      <c r="J20" s="423"/>
      <c r="K20" s="392" t="str">
        <f t="shared" si="1"/>
        <v/>
      </c>
      <c r="L20" s="527"/>
      <c r="M20" s="630"/>
      <c r="N20" s="421"/>
      <c r="O20" s="390" t="str">
        <f t="shared" si="2"/>
        <v/>
      </c>
      <c r="P20" s="423"/>
      <c r="Q20" s="396" t="str">
        <f t="shared" si="3"/>
        <v/>
      </c>
      <c r="R20" s="395" t="str">
        <f t="shared" si="4"/>
        <v/>
      </c>
    </row>
    <row r="21" spans="1:18">
      <c r="A21" s="2047">
        <v>10</v>
      </c>
      <c r="B21" s="411"/>
      <c r="C21" s="415"/>
      <c r="D21" s="416"/>
      <c r="E21" s="414"/>
      <c r="F21" s="524"/>
      <c r="G21" s="627"/>
      <c r="H21" s="421"/>
      <c r="I21" s="390" t="str">
        <f t="shared" si="0"/>
        <v/>
      </c>
      <c r="J21" s="423"/>
      <c r="K21" s="392" t="str">
        <f t="shared" si="1"/>
        <v/>
      </c>
      <c r="L21" s="527"/>
      <c r="M21" s="630"/>
      <c r="N21" s="421"/>
      <c r="O21" s="390" t="str">
        <f t="shared" si="2"/>
        <v/>
      </c>
      <c r="P21" s="423"/>
      <c r="Q21" s="396" t="str">
        <f t="shared" si="3"/>
        <v/>
      </c>
      <c r="R21" s="395" t="str">
        <f t="shared" si="4"/>
        <v/>
      </c>
    </row>
    <row r="22" spans="1:18">
      <c r="A22" s="2047">
        <v>11</v>
      </c>
      <c r="B22" s="411"/>
      <c r="C22" s="415"/>
      <c r="D22" s="416"/>
      <c r="E22" s="414"/>
      <c r="F22" s="524"/>
      <c r="G22" s="627"/>
      <c r="H22" s="421"/>
      <c r="I22" s="390" t="str">
        <f t="shared" si="0"/>
        <v/>
      </c>
      <c r="J22" s="423"/>
      <c r="K22" s="392" t="str">
        <f t="shared" si="1"/>
        <v/>
      </c>
      <c r="L22" s="527"/>
      <c r="M22" s="630"/>
      <c r="N22" s="421"/>
      <c r="O22" s="390" t="str">
        <f t="shared" si="2"/>
        <v/>
      </c>
      <c r="P22" s="423"/>
      <c r="Q22" s="396" t="str">
        <f t="shared" si="3"/>
        <v/>
      </c>
      <c r="R22" s="395" t="str">
        <f t="shared" si="4"/>
        <v/>
      </c>
    </row>
    <row r="23" spans="1:18">
      <c r="A23" s="2047">
        <v>12</v>
      </c>
      <c r="B23" s="411"/>
      <c r="C23" s="415"/>
      <c r="D23" s="416"/>
      <c r="E23" s="414"/>
      <c r="F23" s="524"/>
      <c r="G23" s="627"/>
      <c r="H23" s="421"/>
      <c r="I23" s="390" t="str">
        <f t="shared" si="0"/>
        <v/>
      </c>
      <c r="J23" s="423"/>
      <c r="K23" s="392" t="str">
        <f t="shared" si="1"/>
        <v/>
      </c>
      <c r="L23" s="527"/>
      <c r="M23" s="630"/>
      <c r="N23" s="421"/>
      <c r="O23" s="390" t="str">
        <f t="shared" si="2"/>
        <v/>
      </c>
      <c r="P23" s="423"/>
      <c r="Q23" s="396" t="str">
        <f t="shared" si="3"/>
        <v/>
      </c>
      <c r="R23" s="395" t="str">
        <f t="shared" si="4"/>
        <v/>
      </c>
    </row>
    <row r="24" spans="1:18">
      <c r="A24" s="2047">
        <v>13</v>
      </c>
      <c r="B24" s="411"/>
      <c r="C24" s="415"/>
      <c r="D24" s="416"/>
      <c r="E24" s="414"/>
      <c r="F24" s="524"/>
      <c r="G24" s="627"/>
      <c r="H24" s="421"/>
      <c r="I24" s="390" t="str">
        <f t="shared" si="0"/>
        <v/>
      </c>
      <c r="J24" s="423"/>
      <c r="K24" s="392" t="str">
        <f t="shared" si="1"/>
        <v/>
      </c>
      <c r="L24" s="527"/>
      <c r="M24" s="630"/>
      <c r="N24" s="421"/>
      <c r="O24" s="390" t="str">
        <f t="shared" si="2"/>
        <v/>
      </c>
      <c r="P24" s="423"/>
      <c r="Q24" s="396" t="str">
        <f t="shared" si="3"/>
        <v/>
      </c>
      <c r="R24" s="395" t="str">
        <f t="shared" si="4"/>
        <v/>
      </c>
    </row>
    <row r="25" spans="1:18">
      <c r="A25" s="2047">
        <v>14</v>
      </c>
      <c r="B25" s="411"/>
      <c r="C25" s="415"/>
      <c r="D25" s="416"/>
      <c r="E25" s="414"/>
      <c r="F25" s="524"/>
      <c r="G25" s="627"/>
      <c r="H25" s="421"/>
      <c r="I25" s="390" t="str">
        <f t="shared" si="0"/>
        <v/>
      </c>
      <c r="J25" s="423"/>
      <c r="K25" s="392" t="str">
        <f t="shared" si="1"/>
        <v/>
      </c>
      <c r="L25" s="527"/>
      <c r="M25" s="630"/>
      <c r="N25" s="421"/>
      <c r="O25" s="390" t="str">
        <f t="shared" si="2"/>
        <v/>
      </c>
      <c r="P25" s="423"/>
      <c r="Q25" s="396" t="str">
        <f t="shared" si="3"/>
        <v/>
      </c>
      <c r="R25" s="395" t="str">
        <f t="shared" si="4"/>
        <v/>
      </c>
    </row>
    <row r="26" spans="1:18">
      <c r="A26" s="2047">
        <v>15</v>
      </c>
      <c r="B26" s="411"/>
      <c r="C26" s="415"/>
      <c r="D26" s="416"/>
      <c r="E26" s="414"/>
      <c r="F26" s="524"/>
      <c r="G26" s="627"/>
      <c r="H26" s="421"/>
      <c r="I26" s="390" t="str">
        <f>IF(G26="","",H26/G26)</f>
        <v/>
      </c>
      <c r="J26" s="423"/>
      <c r="K26" s="392" t="str">
        <f>IF(H26="","",H26+J26)</f>
        <v/>
      </c>
      <c r="L26" s="527"/>
      <c r="M26" s="630"/>
      <c r="N26" s="421"/>
      <c r="O26" s="390" t="str">
        <f>IF(M26="","",N26/M26)</f>
        <v/>
      </c>
      <c r="P26" s="423"/>
      <c r="Q26" s="396" t="str">
        <f>IF(N26="","",N26+P26)</f>
        <v/>
      </c>
      <c r="R26" s="395" t="str">
        <f t="shared" si="4"/>
        <v/>
      </c>
    </row>
    <row r="27" spans="1:18">
      <c r="A27" s="2047">
        <v>16</v>
      </c>
      <c r="B27" s="411"/>
      <c r="C27" s="415"/>
      <c r="D27" s="416"/>
      <c r="E27" s="414"/>
      <c r="F27" s="524"/>
      <c r="G27" s="627"/>
      <c r="H27" s="421"/>
      <c r="I27" s="390" t="str">
        <f t="shared" si="0"/>
        <v/>
      </c>
      <c r="J27" s="423"/>
      <c r="K27" s="392" t="str">
        <f t="shared" si="1"/>
        <v/>
      </c>
      <c r="L27" s="527"/>
      <c r="M27" s="630"/>
      <c r="N27" s="421"/>
      <c r="O27" s="390" t="str">
        <f t="shared" si="2"/>
        <v/>
      </c>
      <c r="P27" s="423"/>
      <c r="Q27" s="396" t="str">
        <f t="shared" si="3"/>
        <v/>
      </c>
      <c r="R27" s="395" t="str">
        <f t="shared" si="4"/>
        <v/>
      </c>
    </row>
    <row r="28" spans="1:18">
      <c r="A28" s="2047">
        <v>17</v>
      </c>
      <c r="B28" s="411"/>
      <c r="C28" s="415"/>
      <c r="D28" s="416"/>
      <c r="E28" s="414"/>
      <c r="F28" s="524"/>
      <c r="G28" s="627"/>
      <c r="H28" s="421"/>
      <c r="I28" s="390" t="str">
        <f t="shared" si="0"/>
        <v/>
      </c>
      <c r="J28" s="423"/>
      <c r="K28" s="392" t="str">
        <f t="shared" si="1"/>
        <v/>
      </c>
      <c r="L28" s="527"/>
      <c r="M28" s="630"/>
      <c r="N28" s="421"/>
      <c r="O28" s="390" t="str">
        <f t="shared" si="2"/>
        <v/>
      </c>
      <c r="P28" s="423"/>
      <c r="Q28" s="397" t="str">
        <f t="shared" si="3"/>
        <v/>
      </c>
      <c r="R28" s="395" t="str">
        <f t="shared" si="4"/>
        <v/>
      </c>
    </row>
    <row r="29" spans="1:18">
      <c r="A29" s="2047">
        <v>18</v>
      </c>
      <c r="B29" s="411"/>
      <c r="C29" s="415"/>
      <c r="D29" s="416"/>
      <c r="E29" s="414"/>
      <c r="F29" s="524"/>
      <c r="G29" s="627"/>
      <c r="H29" s="421"/>
      <c r="I29" s="390" t="str">
        <f t="shared" si="0"/>
        <v/>
      </c>
      <c r="J29" s="423"/>
      <c r="K29" s="392" t="str">
        <f t="shared" si="1"/>
        <v/>
      </c>
      <c r="L29" s="527"/>
      <c r="M29" s="630"/>
      <c r="N29" s="421"/>
      <c r="O29" s="390" t="str">
        <f t="shared" si="2"/>
        <v/>
      </c>
      <c r="P29" s="423"/>
      <c r="Q29" s="396" t="str">
        <f t="shared" si="3"/>
        <v/>
      </c>
      <c r="R29" s="395" t="str">
        <f t="shared" si="4"/>
        <v/>
      </c>
    </row>
    <row r="30" spans="1:18">
      <c r="A30" s="2047">
        <v>19</v>
      </c>
      <c r="B30" s="411"/>
      <c r="C30" s="415"/>
      <c r="D30" s="416"/>
      <c r="E30" s="414"/>
      <c r="F30" s="524"/>
      <c r="G30" s="627"/>
      <c r="H30" s="421"/>
      <c r="I30" s="390" t="str">
        <f t="shared" si="0"/>
        <v/>
      </c>
      <c r="J30" s="423"/>
      <c r="K30" s="392" t="str">
        <f t="shared" si="1"/>
        <v/>
      </c>
      <c r="L30" s="527"/>
      <c r="M30" s="630"/>
      <c r="N30" s="421"/>
      <c r="O30" s="390" t="str">
        <f t="shared" si="2"/>
        <v/>
      </c>
      <c r="P30" s="423"/>
      <c r="Q30" s="397" t="str">
        <f t="shared" si="3"/>
        <v/>
      </c>
      <c r="R30" s="395" t="str">
        <f t="shared" si="4"/>
        <v/>
      </c>
    </row>
    <row r="31" spans="1:18" ht="13.5" thickBot="1">
      <c r="A31" s="2047">
        <v>20</v>
      </c>
      <c r="B31" s="417"/>
      <c r="C31" s="418"/>
      <c r="D31" s="419"/>
      <c r="E31" s="420"/>
      <c r="F31" s="525"/>
      <c r="G31" s="628"/>
      <c r="H31" s="422"/>
      <c r="I31" s="391" t="str">
        <f>IF(G31="","",H31/G31)</f>
        <v/>
      </c>
      <c r="J31" s="424"/>
      <c r="K31" s="393" t="str">
        <f>IF(H31="","",H31+J31)</f>
        <v/>
      </c>
      <c r="L31" s="528"/>
      <c r="M31" s="631"/>
      <c r="N31" s="425"/>
      <c r="O31" s="391" t="str">
        <f>IF(M31="","",N31/M31)</f>
        <v/>
      </c>
      <c r="P31" s="426"/>
      <c r="Q31" s="398" t="str">
        <f>IF(N31="","",N31+P31)</f>
        <v/>
      </c>
      <c r="R31" s="399" t="str">
        <f>IF(M31="","",(N31/M31-H31/G31)/(H31/G31))</f>
        <v/>
      </c>
    </row>
    <row r="32" spans="1:18">
      <c r="A32" s="2040"/>
      <c r="B32" s="230"/>
      <c r="C32" s="331" t="s">
        <v>1133</v>
      </c>
      <c r="D32" s="332"/>
      <c r="E32" s="332"/>
      <c r="F32" s="333"/>
      <c r="G32" s="629" t="str">
        <f>IF(SUM(G12:G31)=0,"",SUM(G12:G31))</f>
        <v/>
      </c>
      <c r="H32" s="374" t="str">
        <f>IF(SUM(H12:H31)&lt;&gt;0,SUM(H12:H31),IF(G32="","",SUM(H12:H31)))</f>
        <v/>
      </c>
      <c r="I32" s="374"/>
      <c r="J32" s="377" t="str">
        <f>IF(SUM(J12:J31)&lt;&gt;0,SUM(J12:J31),IF(G32="","",SUM(J12:J31)))</f>
        <v/>
      </c>
      <c r="K32" s="378" t="str">
        <f>IF(SUM(K12:K31)&lt;&gt;0,SUM(K12:K31),IF(G32="","",SUM(K12:K31)))</f>
        <v/>
      </c>
      <c r="L32" s="231"/>
      <c r="M32" s="632" t="str">
        <f>IF(SUM(M12:M31)=0,"",SUM(M12:M31))</f>
        <v/>
      </c>
      <c r="N32" s="374" t="str">
        <f>IF(SUM(N12:N31)&lt;&gt;0,SUM(N12:N31),IF(G32="","",SUM(N12:N31)))</f>
        <v/>
      </c>
      <c r="O32" s="374"/>
      <c r="P32" s="377" t="str">
        <f>IF(SUM(P12:P31)&lt;&gt;0,SUM(P12:P31),IF(K32="","",SUM(P12:P31)))</f>
        <v/>
      </c>
      <c r="Q32" s="377" t="str">
        <f>IF(SUM(Q12:Q31)&lt;&gt;0,SUM(Q12:Q31),IF(M32="","",SUM(Q12:Q31)))</f>
        <v/>
      </c>
      <c r="R32" s="232"/>
    </row>
    <row r="33" spans="1:20" ht="13.5" thickBot="1">
      <c r="A33" s="2047"/>
      <c r="B33" s="233"/>
      <c r="C33" s="334" t="s">
        <v>1134</v>
      </c>
      <c r="D33" s="335"/>
      <c r="E33" s="335"/>
      <c r="F33" s="336"/>
      <c r="G33" s="2049"/>
      <c r="H33" s="379" t="str">
        <f>IF(G32="","",ROUND(H32/G32,2))</f>
        <v/>
      </c>
      <c r="I33" s="375"/>
      <c r="J33" s="380"/>
      <c r="K33" s="381" t="str">
        <f>IF(G32="","",ROUND(K32/G32,2))</f>
        <v/>
      </c>
      <c r="L33" s="234"/>
      <c r="M33" s="382"/>
      <c r="N33" s="383" t="str">
        <f>IF(M32="","",ROUND(N32/M32,2))</f>
        <v/>
      </c>
      <c r="O33" s="376"/>
      <c r="P33" s="384"/>
      <c r="Q33" s="383" t="str">
        <f>IF(M32="","",ROUND(Q32/M32,2))</f>
        <v/>
      </c>
      <c r="R33" s="236"/>
    </row>
    <row r="34" spans="1:20" ht="16.5" thickBot="1">
      <c r="A34" s="2047"/>
      <c r="B34" s="373" t="s">
        <v>1135</v>
      </c>
      <c r="C34" s="4776" t="s">
        <v>1136</v>
      </c>
      <c r="D34" s="4777"/>
      <c r="E34" s="4777"/>
      <c r="F34" s="4777"/>
      <c r="G34" s="4777"/>
      <c r="H34" s="4777"/>
      <c r="I34" s="4777"/>
      <c r="J34" s="4777"/>
      <c r="K34" s="4778"/>
      <c r="L34" s="4759" t="s">
        <v>1093</v>
      </c>
      <c r="M34" s="4762"/>
      <c r="N34" s="4762"/>
      <c r="O34" s="4762"/>
      <c r="P34" s="4762"/>
      <c r="Q34" s="4762"/>
      <c r="R34" s="4763"/>
    </row>
    <row r="35" spans="1:20">
      <c r="A35" s="2047"/>
      <c r="B35" s="427"/>
      <c r="C35" s="428"/>
      <c r="D35" s="429"/>
      <c r="E35" s="429"/>
      <c r="F35" s="429"/>
      <c r="G35" s="429"/>
      <c r="H35" s="429"/>
      <c r="I35" s="429"/>
      <c r="J35" s="429"/>
      <c r="K35" s="430"/>
      <c r="L35" s="437" t="s">
        <v>1257</v>
      </c>
      <c r="M35" s="438"/>
      <c r="N35" s="438"/>
      <c r="O35" s="438"/>
      <c r="P35" s="439"/>
      <c r="Q35" s="440"/>
      <c r="R35" s="232"/>
      <c r="T35" s="2050"/>
    </row>
    <row r="36" spans="1:20">
      <c r="A36" s="2047"/>
      <c r="B36" s="427"/>
      <c r="C36" s="431"/>
      <c r="D36" s="432"/>
      <c r="E36" s="432"/>
      <c r="F36" s="432"/>
      <c r="G36" s="432"/>
      <c r="H36" s="432"/>
      <c r="I36" s="432"/>
      <c r="J36" s="432"/>
      <c r="K36" s="433"/>
      <c r="L36" s="431"/>
      <c r="M36" s="432"/>
      <c r="N36" s="432"/>
      <c r="O36" s="432"/>
      <c r="P36" s="441"/>
      <c r="Q36" s="442"/>
      <c r="R36" s="232"/>
    </row>
    <row r="37" spans="1:20">
      <c r="A37" s="2047"/>
      <c r="B37" s="427"/>
      <c r="C37" s="431"/>
      <c r="D37" s="432"/>
      <c r="E37" s="432"/>
      <c r="F37" s="432"/>
      <c r="G37" s="432"/>
      <c r="H37" s="432"/>
      <c r="I37" s="432"/>
      <c r="J37" s="432"/>
      <c r="K37" s="433"/>
      <c r="L37" s="431"/>
      <c r="M37" s="432"/>
      <c r="N37" s="432"/>
      <c r="O37" s="432"/>
      <c r="P37" s="441"/>
      <c r="Q37" s="442"/>
      <c r="R37" s="232"/>
    </row>
    <row r="38" spans="1:20" ht="13.5" thickBot="1">
      <c r="A38" s="2047"/>
      <c r="B38" s="427"/>
      <c r="C38" s="431"/>
      <c r="D38" s="432"/>
      <c r="E38" s="432"/>
      <c r="F38" s="432"/>
      <c r="G38" s="432"/>
      <c r="H38" s="432"/>
      <c r="I38" s="432"/>
      <c r="J38" s="432"/>
      <c r="K38" s="433"/>
      <c r="L38" s="443"/>
      <c r="M38" s="444"/>
      <c r="N38" s="444"/>
      <c r="O38" s="444"/>
      <c r="P38" s="445"/>
      <c r="Q38" s="446"/>
      <c r="R38" s="2051"/>
    </row>
    <row r="39" spans="1:20">
      <c r="A39" s="2047"/>
      <c r="B39" s="427"/>
      <c r="C39" s="431"/>
      <c r="D39" s="432"/>
      <c r="E39" s="432"/>
      <c r="F39" s="432"/>
      <c r="G39" s="432"/>
      <c r="H39" s="432"/>
      <c r="I39" s="432"/>
      <c r="J39" s="432"/>
      <c r="K39" s="432"/>
      <c r="L39" s="4769" t="s">
        <v>1137</v>
      </c>
      <c r="M39" s="4770"/>
      <c r="N39" s="4770"/>
      <c r="O39" s="4770"/>
      <c r="P39" s="343"/>
      <c r="Q39" s="343">
        <f>SUM(Q35:Q38)</f>
        <v>0</v>
      </c>
      <c r="R39" s="340" t="str">
        <f>IF(G38="","",(N39/L39-H38/G38)/(H38/G38))</f>
        <v/>
      </c>
    </row>
    <row r="40" spans="1:20" ht="13.5" thickBot="1">
      <c r="A40" s="2047"/>
      <c r="B40" s="427"/>
      <c r="C40" s="431"/>
      <c r="D40" s="432"/>
      <c r="E40" s="432"/>
      <c r="F40" s="432"/>
      <c r="G40" s="432"/>
      <c r="H40" s="432"/>
      <c r="I40" s="432"/>
      <c r="J40" s="432"/>
      <c r="K40" s="432"/>
      <c r="L40" s="339"/>
      <c r="M40" s="337"/>
      <c r="N40" s="338"/>
      <c r="O40" s="338"/>
      <c r="P40" s="338"/>
      <c r="Q40" s="345"/>
      <c r="R40" s="341" t="str">
        <f>IF(G40="","",(N40/M40-H40/G40)/(H40/G40))</f>
        <v/>
      </c>
    </row>
    <row r="41" spans="1:20" ht="13.5" customHeight="1" thickBot="1">
      <c r="A41" s="2052"/>
      <c r="B41" s="434"/>
      <c r="C41" s="435"/>
      <c r="D41" s="436"/>
      <c r="E41" s="436"/>
      <c r="F41" s="436"/>
      <c r="G41" s="436"/>
      <c r="H41" s="436"/>
      <c r="I41" s="436"/>
      <c r="J41" s="436"/>
      <c r="K41" s="436"/>
      <c r="L41" s="4771" t="s">
        <v>1138</v>
      </c>
      <c r="M41" s="4772"/>
      <c r="N41" s="4772"/>
      <c r="O41" s="4772"/>
      <c r="P41" s="344"/>
      <c r="Q41" s="385" t="e">
        <f>+Q39+Q32</f>
        <v>#VALUE!</v>
      </c>
      <c r="R41" s="342" t="str">
        <f>IF(G41="","",(N41/L41-H41/G41)/(H41/G41))</f>
        <v/>
      </c>
    </row>
    <row r="42" spans="1:20" ht="13.5" thickBot="1">
      <c r="A42" s="239"/>
      <c r="B42" s="240"/>
      <c r="C42" s="240"/>
      <c r="D42" s="240"/>
      <c r="E42" s="240"/>
      <c r="F42" s="240"/>
      <c r="G42" s="241"/>
      <c r="H42" s="242"/>
      <c r="I42" s="242"/>
      <c r="J42" s="242"/>
      <c r="K42" s="242"/>
      <c r="L42" s="242"/>
      <c r="M42" s="242"/>
      <c r="N42" s="242"/>
      <c r="O42" s="242"/>
      <c r="P42" s="242"/>
      <c r="Q42" s="242"/>
      <c r="R42" s="243"/>
    </row>
    <row r="43" spans="1:20">
      <c r="A43" s="2053"/>
      <c r="B43" s="2054"/>
      <c r="C43" s="2054"/>
      <c r="D43" s="2054"/>
      <c r="E43" s="2054"/>
      <c r="F43" s="2054"/>
      <c r="G43" s="2054"/>
      <c r="H43" s="2054"/>
      <c r="I43" s="2054"/>
      <c r="J43" s="2054"/>
      <c r="K43" s="2054"/>
      <c r="L43" s="2054"/>
      <c r="M43" s="2054"/>
      <c r="N43" s="2054"/>
      <c r="O43" s="2054"/>
      <c r="P43" s="2054"/>
      <c r="Q43" s="2054"/>
      <c r="R43" s="2055"/>
    </row>
    <row r="44" spans="1:20" ht="17.25">
      <c r="A44" s="2046"/>
      <c r="B44" s="2056" t="s">
        <v>1528</v>
      </c>
      <c r="C44" s="2057"/>
      <c r="D44" s="2044"/>
      <c r="E44" s="2044"/>
      <c r="F44" s="2044"/>
      <c r="G44" s="2044"/>
      <c r="H44" s="2044"/>
      <c r="I44" s="2044"/>
      <c r="J44" s="2044"/>
      <c r="K44" s="2044"/>
      <c r="L44" s="2044"/>
      <c r="M44" s="2044"/>
      <c r="N44" s="4773" t="str">
        <f>IF('84 8 Übersicht'!D17="nein","Vollstationäre Pflege monatlich","")</f>
        <v>Vollstationäre Pflege monatlich</v>
      </c>
      <c r="O44" s="4773"/>
      <c r="P44" s="4773"/>
      <c r="Q44" s="2058" t="e">
        <f>Q41/'84 8 Übersicht'!D20</f>
        <v>#VALUE!</v>
      </c>
      <c r="R44" s="2045"/>
      <c r="S44" s="2059">
        <f>'84 8 Übersicht'!D15</f>
        <v>0</v>
      </c>
    </row>
    <row r="45" spans="1:20">
      <c r="A45" s="2040"/>
      <c r="B45" s="2044" t="s">
        <v>1139</v>
      </c>
      <c r="C45" s="2044"/>
      <c r="D45" s="2044"/>
      <c r="E45" s="2044"/>
      <c r="F45" s="2044"/>
      <c r="G45" s="2044"/>
      <c r="H45" s="2044"/>
      <c r="I45" s="2044"/>
      <c r="J45" s="2044"/>
      <c r="K45" s="2044"/>
      <c r="L45" s="2044"/>
      <c r="M45" s="2044"/>
      <c r="N45" s="2044"/>
      <c r="O45" s="2044"/>
      <c r="P45" s="2044"/>
      <c r="Q45" s="2044"/>
      <c r="R45" s="2045"/>
    </row>
    <row r="46" spans="1:20" ht="15.75">
      <c r="A46" s="2040"/>
      <c r="B46" s="2044" t="s">
        <v>1140</v>
      </c>
      <c r="C46" s="2044"/>
      <c r="D46" s="2044"/>
      <c r="E46" s="2044"/>
      <c r="F46" s="2044"/>
      <c r="G46" s="2044"/>
      <c r="H46" s="2044"/>
      <c r="I46" s="2044"/>
      <c r="J46" s="2044"/>
      <c r="K46" s="2044"/>
      <c r="L46" s="2044"/>
      <c r="M46" s="2044"/>
      <c r="N46" s="2044"/>
      <c r="O46" s="2044"/>
      <c r="P46" s="653" t="str">
        <f>IF(AND('84 8 Übersicht'!D17="nein",'Copy &amp; Paste'!H12=""),"","Kurzzeitpflege btgl.")</f>
        <v/>
      </c>
      <c r="Q46" s="2060" t="str">
        <f>IF(AND('84 8 Übersicht'!D17="nein",'Copy &amp; Paste'!H12=""),"",Q41/'84 8 Übersicht'!D19)</f>
        <v/>
      </c>
      <c r="R46" s="2045"/>
    </row>
    <row r="47" spans="1:20">
      <c r="A47" s="2040"/>
      <c r="B47" s="2044" t="s">
        <v>1141</v>
      </c>
      <c r="C47" s="2044"/>
      <c r="D47" s="2044"/>
      <c r="E47" s="2044"/>
      <c r="F47" s="2044"/>
      <c r="G47" s="2044"/>
      <c r="H47" s="2044"/>
      <c r="I47" s="2044"/>
      <c r="J47" s="2044"/>
      <c r="K47" s="2044"/>
      <c r="L47" s="2044"/>
      <c r="M47" s="2044"/>
      <c r="N47" s="2044"/>
      <c r="O47" s="2044"/>
      <c r="P47" s="2044"/>
      <c r="Q47" s="2044"/>
      <c r="R47" s="2045"/>
    </row>
    <row r="48" spans="1:20">
      <c r="A48" s="2040"/>
      <c r="B48" s="2044" t="s">
        <v>1142</v>
      </c>
      <c r="C48" s="2044"/>
      <c r="D48" s="2044"/>
      <c r="E48" s="2044"/>
      <c r="F48" s="2044"/>
      <c r="G48" s="2044"/>
      <c r="H48" s="2044"/>
      <c r="I48" s="2044"/>
      <c r="J48" s="2044"/>
      <c r="K48" s="2044"/>
      <c r="L48" s="2044"/>
      <c r="M48" s="2044"/>
      <c r="N48" s="2044"/>
      <c r="O48" s="2044"/>
      <c r="P48" s="2044"/>
      <c r="Q48" s="2044"/>
      <c r="R48" s="2045"/>
    </row>
    <row r="49" spans="1:18">
      <c r="A49" s="2040"/>
      <c r="B49" s="2044"/>
      <c r="C49" s="2044"/>
      <c r="D49" s="2042"/>
      <c r="E49" s="2042"/>
      <c r="F49" s="2044"/>
      <c r="G49" s="2044"/>
      <c r="H49" s="2044"/>
      <c r="I49" s="2044"/>
      <c r="J49" s="2044"/>
      <c r="K49" s="2044"/>
      <c r="L49" s="2044"/>
      <c r="M49" s="2044"/>
      <c r="N49" s="2044"/>
      <c r="O49" s="2044"/>
      <c r="P49" s="2044"/>
      <c r="Q49" s="2044"/>
      <c r="R49" s="2045"/>
    </row>
    <row r="50" spans="1:18" ht="16.5" thickBot="1">
      <c r="A50" s="2046"/>
      <c r="B50" s="2044"/>
      <c r="C50" s="2044"/>
      <c r="D50" s="2044"/>
      <c r="E50" s="2044"/>
      <c r="F50" s="2044"/>
      <c r="G50" s="2044"/>
      <c r="H50" s="2044"/>
      <c r="I50" s="2061" t="str">
        <f ca="1">'84 8 Übersicht'!D10&amp;", "&amp;TEXT(TODAY(),"TT.MM.JJJJ")</f>
        <v>0, 03.04.2025</v>
      </c>
      <c r="J50" s="2062"/>
      <c r="K50" s="2062"/>
      <c r="L50" s="2044"/>
      <c r="M50" s="2044"/>
      <c r="N50" s="2062"/>
      <c r="O50" s="2062"/>
      <c r="P50" s="2062"/>
      <c r="Q50" s="2062"/>
      <c r="R50" s="2063"/>
    </row>
    <row r="51" spans="1:18" ht="13.5" thickBot="1">
      <c r="A51" s="2052"/>
      <c r="B51" s="2064"/>
      <c r="C51" s="2064"/>
      <c r="D51" s="2064"/>
      <c r="E51" s="2064"/>
      <c r="F51" s="2062"/>
      <c r="G51" s="2062"/>
      <c r="H51" s="2065"/>
      <c r="I51" s="4774" t="s">
        <v>1143</v>
      </c>
      <c r="J51" s="4774"/>
      <c r="K51" s="4774"/>
      <c r="L51" s="2064"/>
      <c r="M51" s="2066"/>
      <c r="N51" s="4774" t="s">
        <v>1144</v>
      </c>
      <c r="O51" s="4774"/>
      <c r="P51" s="4774"/>
      <c r="Q51" s="4774"/>
      <c r="R51" s="4775"/>
    </row>
    <row r="53" spans="1:18">
      <c r="B53" s="4768"/>
      <c r="C53" s="4768"/>
    </row>
    <row r="54" spans="1:18">
      <c r="B54" s="4768"/>
      <c r="C54" s="4768"/>
    </row>
  </sheetData>
  <mergeCells count="30">
    <mergeCell ref="U9:V9"/>
    <mergeCell ref="C11:D11"/>
    <mergeCell ref="B54:C54"/>
    <mergeCell ref="L39:O39"/>
    <mergeCell ref="L41:O41"/>
    <mergeCell ref="N44:P44"/>
    <mergeCell ref="I51:K51"/>
    <mergeCell ref="N51:R51"/>
    <mergeCell ref="B53:C53"/>
    <mergeCell ref="C34:K34"/>
    <mergeCell ref="L34:R34"/>
    <mergeCell ref="J9:J10"/>
    <mergeCell ref="L9:L10"/>
    <mergeCell ref="M9:M10"/>
    <mergeCell ref="B9:B10"/>
    <mergeCell ref="C9:D10"/>
    <mergeCell ref="E9:E10"/>
    <mergeCell ref="F9:F10"/>
    <mergeCell ref="G9:G10"/>
    <mergeCell ref="D5:F5"/>
    <mergeCell ref="A1:R1"/>
    <mergeCell ref="A2:R2"/>
    <mergeCell ref="B3:G3"/>
    <mergeCell ref="I3:K3"/>
    <mergeCell ref="O3:R3"/>
    <mergeCell ref="G7:H7"/>
    <mergeCell ref="I7:J7"/>
    <mergeCell ref="L7:N7"/>
    <mergeCell ref="G8:K8"/>
    <mergeCell ref="L8:Q8"/>
  </mergeCells>
  <conditionalFormatting sqref="Q44">
    <cfRule type="expression" dxfId="91" priority="7" stopIfTrue="1">
      <formula>S44="ja"</formula>
    </cfRule>
    <cfRule type="expression" dxfId="90" priority="8" stopIfTrue="1">
      <formula>ISERROR(Q44)</formula>
    </cfRule>
  </conditionalFormatting>
  <conditionalFormatting sqref="T35">
    <cfRule type="cellIs" dxfId="89" priority="6" stopIfTrue="1" operator="equal">
      <formula>#VALUE!</formula>
    </cfRule>
  </conditionalFormatting>
  <conditionalFormatting sqref="Q41">
    <cfRule type="containsErrors" dxfId="88" priority="14" stopIfTrue="1">
      <formula>ISERROR(Q41)</formula>
    </cfRule>
  </conditionalFormatting>
  <conditionalFormatting sqref="R12:R31">
    <cfRule type="containsErrors" dxfId="87" priority="1">
      <formula>ISERROR(R12)</formula>
    </cfRule>
    <cfRule type="containsErrors" dxfId="86" priority="3">
      <formula>ISERROR(R12)</formula>
    </cfRule>
    <cfRule type="expression" dxfId="85" priority="10" stopIfTrue="1">
      <formula>ISERROR(R12)</formula>
    </cfRule>
  </conditionalFormatting>
  <conditionalFormatting sqref="Q46">
    <cfRule type="expression" dxfId="84" priority="11" stopIfTrue="1">
      <formula>ISERROR($Q$46)</formula>
    </cfRule>
  </conditionalFormatting>
  <conditionalFormatting sqref="N44:P44">
    <cfRule type="expression" dxfId="83" priority="12" stopIfTrue="1">
      <formula>$S$44=0</formula>
    </cfRule>
  </conditionalFormatting>
  <conditionalFormatting sqref="B3:R3">
    <cfRule type="cellIs" dxfId="82" priority="4" operator="equal">
      <formula>0</formula>
    </cfRule>
  </conditionalFormatting>
  <conditionalFormatting sqref="Q39">
    <cfRule type="cellIs" dxfId="81" priority="2" operator="equal">
      <formula>0</formula>
    </cfRule>
  </conditionalFormatting>
  <dataValidations count="1">
    <dataValidation type="list" allowBlank="1" showInputMessage="1" showErrorMessage="1" sqref="C5">
      <formula1>"reg. übl. Entgeltniveau,AVR CV,AVR DD,AVR J,AWO NRW,BAT KF,AGB-Pari,TVöD,Haustarif-vertrag,Anlehnung an TVöD,Anlehnung an AVR CV, Anlehnung an AVR DD, Anlehnung an AWO NRW, Anlehnung an BAT KF"</formula1>
    </dataValidation>
  </dataValidations>
  <printOptions horizontalCentered="1"/>
  <pageMargins left="0.17" right="0.17" top="0.72" bottom="0.46" header="0.4" footer="0.23622047244094491"/>
  <pageSetup paperSize="9" scale="65" orientation="landscape" r:id="rId1"/>
  <headerFooter alignWithMargins="0">
    <oddFooter>&amp;L&amp;F</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1">
    <tabColor theme="7"/>
    <pageSetUpPr fitToPage="1"/>
  </sheetPr>
  <dimension ref="A1:T54"/>
  <sheetViews>
    <sheetView zoomScale="85" zoomScaleNormal="85" workbookViewId="0">
      <selection activeCell="B3" sqref="B3:F3"/>
    </sheetView>
  </sheetViews>
  <sheetFormatPr baseColWidth="10" defaultColWidth="11.42578125" defaultRowHeight="12.75"/>
  <cols>
    <col min="1" max="1" width="4" style="2069" customWidth="1"/>
    <col min="2" max="2" width="16.7109375" style="2069" customWidth="1"/>
    <col min="3" max="5" width="13.140625" style="2069" customWidth="1"/>
    <col min="6" max="6" width="8.28515625" style="2069" customWidth="1"/>
    <col min="7" max="15" width="13.140625" style="2069" customWidth="1"/>
    <col min="16" max="16" width="13.140625" style="2067" customWidth="1"/>
    <col min="17" max="17" width="4.28515625" style="2067" customWidth="1"/>
    <col min="18" max="16384" width="11.42578125" style="2069"/>
  </cols>
  <sheetData>
    <row r="1" spans="1:20" ht="23.25">
      <c r="A1" s="4790" t="s">
        <v>1351</v>
      </c>
      <c r="B1" s="4791"/>
      <c r="C1" s="4791"/>
      <c r="D1" s="4791"/>
      <c r="E1" s="4791"/>
      <c r="F1" s="4791"/>
      <c r="G1" s="4791"/>
      <c r="H1" s="4791"/>
      <c r="I1" s="4791"/>
      <c r="J1" s="4791"/>
      <c r="K1" s="4791"/>
      <c r="L1" s="4791"/>
      <c r="M1" s="4791"/>
      <c r="N1" s="4791"/>
      <c r="O1" s="4791"/>
      <c r="P1" s="4792"/>
      <c r="R1" s="2068" t="str">
        <f>CONCATENATE(B3,", ",H3,", ",L3," ",M3)</f>
        <v>0, 0, 0 0</v>
      </c>
    </row>
    <row r="2" spans="1:20" ht="21">
      <c r="A2" s="4793" t="s">
        <v>1447</v>
      </c>
      <c r="B2" s="4794"/>
      <c r="C2" s="4794"/>
      <c r="D2" s="4794"/>
      <c r="E2" s="4794"/>
      <c r="F2" s="4794"/>
      <c r="G2" s="4794"/>
      <c r="H2" s="4794"/>
      <c r="I2" s="4794"/>
      <c r="J2" s="4794"/>
      <c r="K2" s="4794"/>
      <c r="L2" s="4794"/>
      <c r="M2" s="4794"/>
      <c r="N2" s="4794"/>
      <c r="O2" s="4794"/>
      <c r="P2" s="4795"/>
      <c r="R2" s="2070">
        <f>N5</f>
        <v>45717</v>
      </c>
      <c r="S2" s="2071"/>
      <c r="T2" s="2072"/>
    </row>
    <row r="3" spans="1:20" ht="23.25" customHeight="1" thickBot="1">
      <c r="A3" s="2073"/>
      <c r="B3" s="4796">
        <f>+'84 8 Übersicht'!C4</f>
        <v>0</v>
      </c>
      <c r="C3" s="4796"/>
      <c r="D3" s="4796"/>
      <c r="E3" s="4796"/>
      <c r="F3" s="4796"/>
      <c r="G3" s="2074"/>
      <c r="H3" s="4796">
        <f>'84 8 Übersicht'!C5</f>
        <v>0</v>
      </c>
      <c r="I3" s="4796"/>
      <c r="J3" s="4796"/>
      <c r="K3" s="2075"/>
      <c r="L3" s="2075">
        <f>'84 8 Übersicht'!C6</f>
        <v>0</v>
      </c>
      <c r="M3" s="4796">
        <f>'84 8 Übersicht'!D6</f>
        <v>0</v>
      </c>
      <c r="N3" s="4796"/>
      <c r="O3" s="4796"/>
      <c r="P3" s="4797"/>
      <c r="R3" s="2068"/>
      <c r="S3" s="2076"/>
      <c r="T3" s="2072"/>
    </row>
    <row r="4" spans="1:20" ht="12.75" customHeight="1" thickBot="1">
      <c r="A4" s="2077"/>
      <c r="B4" s="2078"/>
      <c r="C4" s="2078"/>
      <c r="D4" s="2078"/>
      <c r="E4" s="2078"/>
      <c r="F4" s="2078"/>
      <c r="G4" s="2078"/>
      <c r="H4" s="2078"/>
      <c r="I4" s="2078"/>
      <c r="J4" s="2078"/>
      <c r="K4" s="2078"/>
      <c r="L4" s="2078"/>
      <c r="M4" s="2078"/>
      <c r="N4" s="2078"/>
      <c r="O4" s="2078"/>
      <c r="P4" s="2079"/>
      <c r="R4" s="2072"/>
      <c r="S4" s="2071"/>
      <c r="T4" s="2072"/>
    </row>
    <row r="5" spans="1:20" ht="24.75" customHeight="1" thickBot="1">
      <c r="A5" s="2077"/>
      <c r="B5" s="2080" t="s">
        <v>1109</v>
      </c>
      <c r="C5" s="2081" t="str">
        <f>'84 8 Vorbereitung'!L7</f>
        <v>reg. übl. Entgeltniveau</v>
      </c>
      <c r="D5" s="4785">
        <f>'84 8 Übersicht'!C12</f>
        <v>0</v>
      </c>
      <c r="E5" s="4786"/>
      <c r="F5" s="244"/>
      <c r="G5" s="245" t="s">
        <v>1145</v>
      </c>
      <c r="H5" s="246">
        <f>'84 8 Nachweis'!P5</f>
        <v>45717</v>
      </c>
      <c r="I5" s="246">
        <f>'84 8 Nachweis'!Q5</f>
        <v>46081</v>
      </c>
      <c r="J5" s="2082"/>
      <c r="K5" s="4787" t="s">
        <v>1146</v>
      </c>
      <c r="L5" s="4788"/>
      <c r="M5" s="4789"/>
      <c r="N5" s="246">
        <f>'84 8 Vorbereitung'!K2</f>
        <v>45717</v>
      </c>
      <c r="O5" s="247">
        <f>'84 8 Vorbereitung'!K3</f>
        <v>46081</v>
      </c>
      <c r="P5" s="2079"/>
      <c r="R5" s="2083"/>
      <c r="S5" s="2084" t="s">
        <v>1147</v>
      </c>
      <c r="T5" s="2085"/>
    </row>
    <row r="6" spans="1:20" ht="24.75" customHeight="1" thickBot="1">
      <c r="A6" s="2086"/>
      <c r="B6" s="2078"/>
      <c r="C6" s="2078"/>
      <c r="D6" s="4800" t="s">
        <v>1148</v>
      </c>
      <c r="E6" s="4801"/>
      <c r="F6" s="2087"/>
      <c r="G6" s="248" t="s">
        <v>1112</v>
      </c>
      <c r="H6" s="249">
        <f>'84 8 Nachweis'!O6</f>
        <v>0</v>
      </c>
      <c r="I6" s="2088"/>
      <c r="J6" s="2089"/>
      <c r="K6" s="250"/>
      <c r="L6" s="251" t="s">
        <v>1112</v>
      </c>
      <c r="M6" s="249">
        <f>'84 8 Vorbereitung'!D4</f>
        <v>0</v>
      </c>
      <c r="N6" s="2090"/>
      <c r="O6" s="252"/>
      <c r="P6" s="2079"/>
      <c r="R6" s="2072"/>
      <c r="S6" s="2072"/>
      <c r="T6" s="2091"/>
    </row>
    <row r="7" spans="1:20" ht="24.95" customHeight="1" thickBot="1">
      <c r="A7" s="2086"/>
      <c r="B7" s="2078"/>
      <c r="C7" s="2078"/>
      <c r="D7" s="2078"/>
      <c r="E7" s="2078"/>
      <c r="F7" s="2087"/>
      <c r="G7" s="248" t="s">
        <v>1149</v>
      </c>
      <c r="H7" s="638">
        <f>'84 8 Nachweis'!O7</f>
        <v>0</v>
      </c>
      <c r="I7" s="253" t="s">
        <v>1111</v>
      </c>
      <c r="J7" s="254">
        <f>'84 8 Nachweis'!Q7</f>
        <v>20</v>
      </c>
      <c r="K7" s="255"/>
      <c r="L7" s="256" t="s">
        <v>1114</v>
      </c>
      <c r="M7" s="639">
        <f>'84 8 Vorbereitung'!D5</f>
        <v>0</v>
      </c>
      <c r="N7" s="257" t="s">
        <v>1111</v>
      </c>
      <c r="O7" s="258">
        <f>'84 8 Vorbereitung'!F5</f>
        <v>20</v>
      </c>
      <c r="P7" s="2092"/>
      <c r="R7" s="2093"/>
      <c r="S7" s="2094"/>
    </row>
    <row r="8" spans="1:20" ht="30.75" customHeight="1" thickBot="1">
      <c r="A8" s="2086"/>
      <c r="B8" s="2078"/>
      <c r="C8" s="2078"/>
      <c r="D8" s="2078"/>
      <c r="E8" s="2078"/>
      <c r="F8" s="4802" t="s">
        <v>1598</v>
      </c>
      <c r="G8" s="4803"/>
      <c r="H8" s="4803"/>
      <c r="I8" s="4803"/>
      <c r="J8" s="4804"/>
      <c r="K8" s="4805" t="str">
        <f>IF(D6="Ergebnis","Ergebnis prospektiv verhandelter Werte für den o. g. Vergütungszeitraum","Angebot prospektiv kalkulierter Werte für den o. g. Vergütungszeitraum")</f>
        <v>Angebot prospektiv kalkulierter Werte für den o. g. Vergütungszeitraum</v>
      </c>
      <c r="L8" s="4806"/>
      <c r="M8" s="4806"/>
      <c r="N8" s="4806"/>
      <c r="O8" s="4807"/>
      <c r="P8" s="2092"/>
    </row>
    <row r="9" spans="1:20" ht="33.75" customHeight="1">
      <c r="A9" s="2086"/>
      <c r="B9" s="4779" t="s">
        <v>1353</v>
      </c>
      <c r="C9" s="4781" t="s">
        <v>1117</v>
      </c>
      <c r="D9" s="4782"/>
      <c r="E9" s="4808" t="s">
        <v>1118</v>
      </c>
      <c r="F9" s="650" t="s">
        <v>1124</v>
      </c>
      <c r="G9" s="650" t="s">
        <v>1125</v>
      </c>
      <c r="H9" s="650" t="s">
        <v>1122</v>
      </c>
      <c r="I9" s="650" t="s">
        <v>1126</v>
      </c>
      <c r="J9" s="650" t="s">
        <v>1585</v>
      </c>
      <c r="K9" s="650" t="s">
        <v>1124</v>
      </c>
      <c r="L9" s="650" t="s">
        <v>1125</v>
      </c>
      <c r="M9" s="650" t="s">
        <v>1122</v>
      </c>
      <c r="N9" s="650" t="s">
        <v>1126</v>
      </c>
      <c r="O9" s="650" t="s">
        <v>1585</v>
      </c>
      <c r="P9" s="259" t="s">
        <v>1150</v>
      </c>
      <c r="R9" s="2072"/>
      <c r="S9" s="4810"/>
      <c r="T9" s="4811"/>
    </row>
    <row r="10" spans="1:20" ht="13.5" thickBot="1">
      <c r="A10" s="2086"/>
      <c r="B10" s="4780"/>
      <c r="C10" s="4783"/>
      <c r="D10" s="4784"/>
      <c r="E10" s="4809"/>
      <c r="F10" s="651"/>
      <c r="G10" s="651" t="s">
        <v>1151</v>
      </c>
      <c r="H10" s="651" t="s">
        <v>1131</v>
      </c>
      <c r="I10" s="651"/>
      <c r="J10" s="651" t="s">
        <v>1132</v>
      </c>
      <c r="K10" s="651"/>
      <c r="L10" s="651" t="s">
        <v>1151</v>
      </c>
      <c r="M10" s="651" t="s">
        <v>1131</v>
      </c>
      <c r="N10" s="651"/>
      <c r="O10" s="651" t="s">
        <v>1132</v>
      </c>
      <c r="P10" s="651"/>
    </row>
    <row r="11" spans="1:20" ht="13.5" thickBot="1">
      <c r="A11" s="2095"/>
      <c r="B11" s="229">
        <v>1</v>
      </c>
      <c r="C11" s="4766">
        <v>2</v>
      </c>
      <c r="D11" s="4767"/>
      <c r="E11" s="229">
        <v>3</v>
      </c>
      <c r="F11" s="229">
        <v>11</v>
      </c>
      <c r="G11" s="229">
        <v>12</v>
      </c>
      <c r="H11" s="229">
        <v>13</v>
      </c>
      <c r="I11" s="229">
        <v>14</v>
      </c>
      <c r="J11" s="229">
        <v>15</v>
      </c>
      <c r="K11" s="229">
        <v>11</v>
      </c>
      <c r="L11" s="229">
        <v>12</v>
      </c>
      <c r="M11" s="229">
        <v>13</v>
      </c>
      <c r="N11" s="229">
        <v>14</v>
      </c>
      <c r="O11" s="229">
        <v>15</v>
      </c>
      <c r="P11" s="229">
        <v>14</v>
      </c>
    </row>
    <row r="12" spans="1:20">
      <c r="A12" s="2096">
        <v>1</v>
      </c>
      <c r="B12" s="260" t="str">
        <f>IF(OR('84 8 Nachweis'!M12="",'84 8 Nachweis'!B12=""),"",'84 8 Nachweis'!B12)</f>
        <v/>
      </c>
      <c r="C12" s="261" t="str">
        <f>IF(OR('84 8 Nachweis'!M12="",'84 8 Nachweis'!C12=""),"",'84 8 Nachweis'!C12)</f>
        <v/>
      </c>
      <c r="D12" s="262"/>
      <c r="E12" s="263" t="str">
        <f>IF('84 8 Vorbereitung'!K10="","",'84 8 Vorbereitung'!K10)</f>
        <v/>
      </c>
      <c r="F12" s="640" t="str">
        <f>IF('84 8 Nachweis'!M12="","",'84 8 Nachweis'!M12)</f>
        <v/>
      </c>
      <c r="G12" s="264" t="str">
        <f>IF(H12="","",IF(F12="","",H12*F12))</f>
        <v/>
      </c>
      <c r="H12" s="265" t="str">
        <f>IF('84 8 Nachweis'!O12="","",'84 8 Nachweis'!O12)</f>
        <v/>
      </c>
      <c r="I12" s="265" t="str">
        <f>IF('84 8 Nachweis'!P12="","",'84 8 Nachweis'!P12)</f>
        <v/>
      </c>
      <c r="J12" s="266" t="str">
        <f>IF('84 8 Nachweis'!Q12="","",'84 8 Nachweis'!Q12)</f>
        <v/>
      </c>
      <c r="K12" s="640" t="str">
        <f>IF('84 8 Vorbereitung'!B10="","",'84 8 Vorbereitung'!B10)</f>
        <v/>
      </c>
      <c r="L12" s="267" t="str">
        <f>IF('84 8 Vorbereitung'!C10="","",'84 8 Vorbereitung'!C10)</f>
        <v/>
      </c>
      <c r="M12" s="265" t="str">
        <f>IF('84 8 Vorbereitung'!D10="","",'84 8 Vorbereitung'!D10)</f>
        <v/>
      </c>
      <c r="N12" s="267" t="str">
        <f>IF('84 8 Vorbereitung'!E10="","",'84 8 Vorbereitung'!E10)</f>
        <v/>
      </c>
      <c r="O12" s="267" t="str">
        <f>IF('84 8 Vorbereitung'!F10="","",'84 8 Vorbereitung'!F10)</f>
        <v/>
      </c>
      <c r="P12" s="268" t="str">
        <f>IF(ISERROR('84 8 Vorbereitung'!G10),"",'84 8 Vorbereitung'!G10)</f>
        <v/>
      </c>
      <c r="R12" s="2097"/>
    </row>
    <row r="13" spans="1:20">
      <c r="A13" s="2096">
        <v>2</v>
      </c>
      <c r="B13" s="260" t="str">
        <f>IF('84 8 Nachweis'!M13="","",'84 8 Nachweis'!B13)</f>
        <v/>
      </c>
      <c r="C13" s="269" t="str">
        <f>IF(OR('84 8 Nachweis'!M13="",'84 8 Nachweis'!C13=""),"",'84 8 Nachweis'!C13)</f>
        <v/>
      </c>
      <c r="D13" s="270"/>
      <c r="E13" s="271" t="str">
        <f>IF('84 8 Vorbereitung'!K11="","",'84 8 Vorbereitung'!K11)</f>
        <v/>
      </c>
      <c r="F13" s="641" t="str">
        <f>IF('84 8 Nachweis'!M13="","",'84 8 Nachweis'!M13)</f>
        <v/>
      </c>
      <c r="G13" s="272" t="str">
        <f t="shared" ref="G13:G31" si="0">IF(H13="","",IF(F13="","",H13*F13))</f>
        <v/>
      </c>
      <c r="H13" s="267" t="str">
        <f>IF('84 8 Nachweis'!O13="","",'84 8 Nachweis'!O13)</f>
        <v/>
      </c>
      <c r="I13" s="273" t="str">
        <f>IF('84 8 Nachweis'!P13="","",'84 8 Nachweis'!P13)</f>
        <v/>
      </c>
      <c r="J13" s="274" t="str">
        <f>IF('84 8 Nachweis'!Q13="","",'84 8 Nachweis'!Q13)</f>
        <v/>
      </c>
      <c r="K13" s="644" t="str">
        <f>IF('84 8 Vorbereitung'!B11="","",'84 8 Vorbereitung'!B11)</f>
        <v/>
      </c>
      <c r="L13" s="267" t="str">
        <f>IF('84 8 Vorbereitung'!C11="","",'84 8 Vorbereitung'!C11)</f>
        <v/>
      </c>
      <c r="M13" s="267" t="str">
        <f>IF('84 8 Vorbereitung'!D11="","",'84 8 Vorbereitung'!D11)</f>
        <v/>
      </c>
      <c r="N13" s="267" t="str">
        <f>IF('84 8 Vorbereitung'!E11="","",'84 8 Vorbereitung'!E11)</f>
        <v/>
      </c>
      <c r="O13" s="267" t="str">
        <f>IF('84 8 Vorbereitung'!F11="","",'84 8 Vorbereitung'!F11)</f>
        <v/>
      </c>
      <c r="P13" s="275" t="str">
        <f>IF(ISERROR('84 8 Vorbereitung'!G11),"",'84 8 Vorbereitung'!G11)</f>
        <v/>
      </c>
    </row>
    <row r="14" spans="1:20">
      <c r="A14" s="2096">
        <v>3</v>
      </c>
      <c r="B14" s="260" t="str">
        <f>IF('84 8 Nachweis'!M14="","",'84 8 Nachweis'!B14)</f>
        <v/>
      </c>
      <c r="C14" s="269" t="str">
        <f>IF(OR('84 8 Nachweis'!M14="",'84 8 Nachweis'!C14=""),"",'84 8 Nachweis'!C14)</f>
        <v/>
      </c>
      <c r="D14" s="270"/>
      <c r="E14" s="271" t="str">
        <f>IF('84 8 Vorbereitung'!K12="","",'84 8 Vorbereitung'!K12)</f>
        <v/>
      </c>
      <c r="F14" s="641" t="str">
        <f>IF('84 8 Nachweis'!M14="","",'84 8 Nachweis'!M14)</f>
        <v/>
      </c>
      <c r="G14" s="272" t="str">
        <f t="shared" si="0"/>
        <v/>
      </c>
      <c r="H14" s="267" t="str">
        <f>IF('84 8 Nachweis'!O14="","",'84 8 Nachweis'!O14)</f>
        <v/>
      </c>
      <c r="I14" s="273" t="str">
        <f>IF('84 8 Nachweis'!P14="","",'84 8 Nachweis'!P14)</f>
        <v/>
      </c>
      <c r="J14" s="274" t="str">
        <f>IF('84 8 Nachweis'!Q14="","",'84 8 Nachweis'!Q14)</f>
        <v/>
      </c>
      <c r="K14" s="644" t="str">
        <f>IF('84 8 Vorbereitung'!B12="","",'84 8 Vorbereitung'!B12)</f>
        <v/>
      </c>
      <c r="L14" s="267" t="str">
        <f>IF('84 8 Vorbereitung'!C12="","",'84 8 Vorbereitung'!C12)</f>
        <v/>
      </c>
      <c r="M14" s="267" t="str">
        <f>IF('84 8 Vorbereitung'!D12="","",'84 8 Vorbereitung'!D12)</f>
        <v/>
      </c>
      <c r="N14" s="267" t="str">
        <f>IF('84 8 Vorbereitung'!E12="","",'84 8 Vorbereitung'!E12)</f>
        <v/>
      </c>
      <c r="O14" s="267" t="str">
        <f>IF('84 8 Vorbereitung'!F12="","",'84 8 Vorbereitung'!F12)</f>
        <v/>
      </c>
      <c r="P14" s="275" t="str">
        <f>IF(ISERROR('84 8 Vorbereitung'!G12),"",'84 8 Vorbereitung'!G12)</f>
        <v/>
      </c>
    </row>
    <row r="15" spans="1:20">
      <c r="A15" s="2096">
        <v>4</v>
      </c>
      <c r="B15" s="260" t="str">
        <f>IF('84 8 Nachweis'!M15="","",'84 8 Nachweis'!B15)</f>
        <v/>
      </c>
      <c r="C15" s="269" t="str">
        <f>IF(OR('84 8 Nachweis'!M15="",'84 8 Nachweis'!C15=""),"",'84 8 Nachweis'!C15)</f>
        <v/>
      </c>
      <c r="D15" s="270"/>
      <c r="E15" s="271" t="str">
        <f>IF('84 8 Vorbereitung'!K13="","",'84 8 Vorbereitung'!K13)</f>
        <v/>
      </c>
      <c r="F15" s="641" t="str">
        <f>IF('84 8 Nachweis'!M15="","",'84 8 Nachweis'!M15)</f>
        <v/>
      </c>
      <c r="G15" s="272" t="str">
        <f t="shared" si="0"/>
        <v/>
      </c>
      <c r="H15" s="267" t="str">
        <f>IF('84 8 Nachweis'!O15="","",'84 8 Nachweis'!O15)</f>
        <v/>
      </c>
      <c r="I15" s="273" t="str">
        <f>IF('84 8 Nachweis'!P15="","",'84 8 Nachweis'!P15)</f>
        <v/>
      </c>
      <c r="J15" s="274" t="str">
        <f>IF('84 8 Nachweis'!Q15="","",'84 8 Nachweis'!Q15)</f>
        <v/>
      </c>
      <c r="K15" s="644" t="str">
        <f>IF('84 8 Vorbereitung'!B13="","",'84 8 Vorbereitung'!B13)</f>
        <v/>
      </c>
      <c r="L15" s="267" t="str">
        <f>IF('84 8 Vorbereitung'!C13="","",'84 8 Vorbereitung'!C13)</f>
        <v/>
      </c>
      <c r="M15" s="267" t="str">
        <f>IF('84 8 Vorbereitung'!D13="","",'84 8 Vorbereitung'!D13)</f>
        <v/>
      </c>
      <c r="N15" s="267" t="str">
        <f>IF('84 8 Vorbereitung'!E13="","",'84 8 Vorbereitung'!E13)</f>
        <v/>
      </c>
      <c r="O15" s="267" t="str">
        <f>IF('84 8 Vorbereitung'!F13="","",'84 8 Vorbereitung'!F13)</f>
        <v/>
      </c>
      <c r="P15" s="275" t="str">
        <f>IF(ISERROR('84 8 Vorbereitung'!G13),"",'84 8 Vorbereitung'!G13)</f>
        <v/>
      </c>
    </row>
    <row r="16" spans="1:20">
      <c r="A16" s="2096">
        <v>5</v>
      </c>
      <c r="B16" s="260" t="str">
        <f>IF('84 8 Nachweis'!M16="","",'84 8 Nachweis'!B16)</f>
        <v/>
      </c>
      <c r="C16" s="269" t="str">
        <f>IF(OR('84 8 Nachweis'!M16="",'84 8 Nachweis'!C16=""),"",'84 8 Nachweis'!C16)</f>
        <v/>
      </c>
      <c r="D16" s="270"/>
      <c r="E16" s="271" t="str">
        <f>IF('84 8 Vorbereitung'!K14="","",'84 8 Vorbereitung'!K14)</f>
        <v/>
      </c>
      <c r="F16" s="641" t="str">
        <f>IF('84 8 Nachweis'!M16="","",'84 8 Nachweis'!M16)</f>
        <v/>
      </c>
      <c r="G16" s="272" t="str">
        <f t="shared" si="0"/>
        <v/>
      </c>
      <c r="H16" s="267" t="str">
        <f>IF('84 8 Nachweis'!O16="","",'84 8 Nachweis'!O16)</f>
        <v/>
      </c>
      <c r="I16" s="273" t="str">
        <f>IF('84 8 Nachweis'!P16="","",'84 8 Nachweis'!P16)</f>
        <v/>
      </c>
      <c r="J16" s="274" t="str">
        <f>IF('84 8 Nachweis'!Q16="","",'84 8 Nachweis'!Q16)</f>
        <v/>
      </c>
      <c r="K16" s="644" t="str">
        <f>IF('84 8 Vorbereitung'!B14="","",'84 8 Vorbereitung'!B14)</f>
        <v/>
      </c>
      <c r="L16" s="267" t="str">
        <f>IF('84 8 Vorbereitung'!C14="","",'84 8 Vorbereitung'!C14)</f>
        <v/>
      </c>
      <c r="M16" s="267" t="str">
        <f>IF('84 8 Vorbereitung'!D14="","",'84 8 Vorbereitung'!D14)</f>
        <v/>
      </c>
      <c r="N16" s="267" t="str">
        <f>IF('84 8 Vorbereitung'!E14="","",'84 8 Vorbereitung'!E14)</f>
        <v/>
      </c>
      <c r="O16" s="267" t="str">
        <f>IF('84 8 Vorbereitung'!F14="","",'84 8 Vorbereitung'!F14)</f>
        <v/>
      </c>
      <c r="P16" s="275" t="str">
        <f>IF(ISERROR('84 8 Vorbereitung'!G14),"",'84 8 Vorbereitung'!G14)</f>
        <v/>
      </c>
    </row>
    <row r="17" spans="1:16">
      <c r="A17" s="2096">
        <v>6</v>
      </c>
      <c r="B17" s="260" t="str">
        <f>IF('84 8 Nachweis'!M17="","",'84 8 Nachweis'!B17)</f>
        <v/>
      </c>
      <c r="C17" s="269" t="str">
        <f>IF(OR('84 8 Nachweis'!M17="",'84 8 Nachweis'!C17=""),"",'84 8 Nachweis'!C17)</f>
        <v/>
      </c>
      <c r="D17" s="270"/>
      <c r="E17" s="271" t="str">
        <f>IF('84 8 Vorbereitung'!K15="","",'84 8 Vorbereitung'!K15)</f>
        <v/>
      </c>
      <c r="F17" s="641" t="str">
        <f>IF('84 8 Nachweis'!M17="","",'84 8 Nachweis'!M17)</f>
        <v/>
      </c>
      <c r="G17" s="272" t="str">
        <f t="shared" si="0"/>
        <v/>
      </c>
      <c r="H17" s="267" t="str">
        <f>IF('84 8 Nachweis'!O17="","",'84 8 Nachweis'!O17)</f>
        <v/>
      </c>
      <c r="I17" s="273" t="str">
        <f>IF('84 8 Nachweis'!P17="","",'84 8 Nachweis'!P17)</f>
        <v/>
      </c>
      <c r="J17" s="274" t="str">
        <f>IF('84 8 Nachweis'!Q17="","",'84 8 Nachweis'!Q17)</f>
        <v/>
      </c>
      <c r="K17" s="644" t="str">
        <f>IF('84 8 Vorbereitung'!B15="","",'84 8 Vorbereitung'!B15)</f>
        <v/>
      </c>
      <c r="L17" s="267" t="str">
        <f>IF('84 8 Vorbereitung'!C15="","",'84 8 Vorbereitung'!C15)</f>
        <v/>
      </c>
      <c r="M17" s="267" t="str">
        <f>IF('84 8 Vorbereitung'!D15="","",'84 8 Vorbereitung'!D15)</f>
        <v/>
      </c>
      <c r="N17" s="267" t="str">
        <f>IF('84 8 Vorbereitung'!E15="","",'84 8 Vorbereitung'!E15)</f>
        <v/>
      </c>
      <c r="O17" s="267" t="str">
        <f>IF('84 8 Vorbereitung'!F15="","",'84 8 Vorbereitung'!F15)</f>
        <v/>
      </c>
      <c r="P17" s="275" t="str">
        <f>IF(ISERROR('84 8 Vorbereitung'!G15),"",'84 8 Vorbereitung'!G15)</f>
        <v/>
      </c>
    </row>
    <row r="18" spans="1:16">
      <c r="A18" s="2096">
        <v>7</v>
      </c>
      <c r="B18" s="260" t="str">
        <f>IF('84 8 Nachweis'!M18="","",'84 8 Nachweis'!B18)</f>
        <v/>
      </c>
      <c r="C18" s="269" t="str">
        <f>IF(OR('84 8 Nachweis'!M18="",'84 8 Nachweis'!C18=""),"",'84 8 Nachweis'!C18)</f>
        <v/>
      </c>
      <c r="D18" s="270"/>
      <c r="E18" s="271" t="str">
        <f>IF('84 8 Vorbereitung'!K16="","",'84 8 Vorbereitung'!K16)</f>
        <v/>
      </c>
      <c r="F18" s="641" t="str">
        <f>IF('84 8 Nachweis'!M18="","",'84 8 Nachweis'!M18)</f>
        <v/>
      </c>
      <c r="G18" s="272" t="str">
        <f t="shared" si="0"/>
        <v/>
      </c>
      <c r="H18" s="267" t="str">
        <f>IF('84 8 Nachweis'!O18="","",'84 8 Nachweis'!O18)</f>
        <v/>
      </c>
      <c r="I18" s="273" t="str">
        <f>IF('84 8 Nachweis'!P18="","",'84 8 Nachweis'!P18)</f>
        <v/>
      </c>
      <c r="J18" s="274" t="str">
        <f>IF('84 8 Nachweis'!Q18="","",'84 8 Nachweis'!Q18)</f>
        <v/>
      </c>
      <c r="K18" s="644" t="str">
        <f>IF('84 8 Vorbereitung'!B16="","",'84 8 Vorbereitung'!B16)</f>
        <v/>
      </c>
      <c r="L18" s="267" t="str">
        <f>IF('84 8 Vorbereitung'!C16="","",'84 8 Vorbereitung'!C16)</f>
        <v/>
      </c>
      <c r="M18" s="267" t="str">
        <f>IF('84 8 Vorbereitung'!D16="","",'84 8 Vorbereitung'!D16)</f>
        <v/>
      </c>
      <c r="N18" s="267" t="str">
        <f>IF('84 8 Vorbereitung'!E16="","",'84 8 Vorbereitung'!E16)</f>
        <v/>
      </c>
      <c r="O18" s="267" t="str">
        <f>IF('84 8 Vorbereitung'!F16="","",'84 8 Vorbereitung'!F16)</f>
        <v/>
      </c>
      <c r="P18" s="275" t="str">
        <f>IF(ISERROR('84 8 Vorbereitung'!G16),"",'84 8 Vorbereitung'!G16)</f>
        <v/>
      </c>
    </row>
    <row r="19" spans="1:16">
      <c r="A19" s="2096">
        <v>8</v>
      </c>
      <c r="B19" s="260" t="str">
        <f>IF('84 8 Nachweis'!M19="","",'84 8 Nachweis'!B19)</f>
        <v/>
      </c>
      <c r="C19" s="269" t="str">
        <f>IF(OR('84 8 Nachweis'!M19="",'84 8 Nachweis'!C19=""),"",'84 8 Nachweis'!C19)</f>
        <v/>
      </c>
      <c r="D19" s="270"/>
      <c r="E19" s="271" t="str">
        <f>IF('84 8 Vorbereitung'!K17="","",'84 8 Vorbereitung'!K17)</f>
        <v/>
      </c>
      <c r="F19" s="641" t="str">
        <f>IF('84 8 Nachweis'!M19="","",'84 8 Nachweis'!M19)</f>
        <v/>
      </c>
      <c r="G19" s="272" t="str">
        <f t="shared" si="0"/>
        <v/>
      </c>
      <c r="H19" s="267" t="str">
        <f>IF('84 8 Nachweis'!O19="","",'84 8 Nachweis'!O19)</f>
        <v/>
      </c>
      <c r="I19" s="273" t="str">
        <f>IF('84 8 Nachweis'!P19="","",'84 8 Nachweis'!P19)</f>
        <v/>
      </c>
      <c r="J19" s="274" t="str">
        <f>IF('84 8 Nachweis'!Q19="","",'84 8 Nachweis'!Q19)</f>
        <v/>
      </c>
      <c r="K19" s="644" t="str">
        <f>IF('84 8 Vorbereitung'!B17="","",'84 8 Vorbereitung'!B17)</f>
        <v/>
      </c>
      <c r="L19" s="267" t="str">
        <f>IF('84 8 Vorbereitung'!C17="","",'84 8 Vorbereitung'!C17)</f>
        <v/>
      </c>
      <c r="M19" s="267" t="str">
        <f>IF('84 8 Vorbereitung'!D17="","",'84 8 Vorbereitung'!D17)</f>
        <v/>
      </c>
      <c r="N19" s="267" t="str">
        <f>IF('84 8 Vorbereitung'!E17="","",'84 8 Vorbereitung'!E17)</f>
        <v/>
      </c>
      <c r="O19" s="267" t="str">
        <f>IF('84 8 Vorbereitung'!F17="","",'84 8 Vorbereitung'!F17)</f>
        <v/>
      </c>
      <c r="P19" s="275" t="str">
        <f>IF(ISERROR('84 8 Vorbereitung'!G17),"",'84 8 Vorbereitung'!G17)</f>
        <v/>
      </c>
    </row>
    <row r="20" spans="1:16">
      <c r="A20" s="2096">
        <v>9</v>
      </c>
      <c r="B20" s="260" t="str">
        <f>IF('84 8 Nachweis'!M20="","",'84 8 Nachweis'!B20)</f>
        <v/>
      </c>
      <c r="C20" s="269" t="str">
        <f>IF(OR('84 8 Nachweis'!M20="",'84 8 Nachweis'!C20=""),"",'84 8 Nachweis'!C20)</f>
        <v/>
      </c>
      <c r="D20" s="270"/>
      <c r="E20" s="271" t="str">
        <f>IF('84 8 Vorbereitung'!K18="","",'84 8 Vorbereitung'!K18)</f>
        <v/>
      </c>
      <c r="F20" s="641" t="str">
        <f>IF('84 8 Nachweis'!M20="","",'84 8 Nachweis'!M20)</f>
        <v/>
      </c>
      <c r="G20" s="272" t="str">
        <f t="shared" si="0"/>
        <v/>
      </c>
      <c r="H20" s="267" t="str">
        <f>IF('84 8 Nachweis'!O20="","",'84 8 Nachweis'!O20)</f>
        <v/>
      </c>
      <c r="I20" s="273" t="str">
        <f>IF('84 8 Nachweis'!P20="","",'84 8 Nachweis'!P20)</f>
        <v/>
      </c>
      <c r="J20" s="274" t="str">
        <f>IF('84 8 Nachweis'!Q20="","",'84 8 Nachweis'!Q20)</f>
        <v/>
      </c>
      <c r="K20" s="644" t="str">
        <f>IF('84 8 Vorbereitung'!B18="","",'84 8 Vorbereitung'!B18)</f>
        <v/>
      </c>
      <c r="L20" s="267" t="str">
        <f>IF('84 8 Vorbereitung'!C18="","",'84 8 Vorbereitung'!C18)</f>
        <v/>
      </c>
      <c r="M20" s="267" t="str">
        <f>IF('84 8 Vorbereitung'!D18="","",'84 8 Vorbereitung'!D18)</f>
        <v/>
      </c>
      <c r="N20" s="267" t="str">
        <f>IF('84 8 Vorbereitung'!E18="","",'84 8 Vorbereitung'!E18)</f>
        <v/>
      </c>
      <c r="O20" s="267" t="str">
        <f>IF('84 8 Vorbereitung'!F18="","",'84 8 Vorbereitung'!F18)</f>
        <v/>
      </c>
      <c r="P20" s="275" t="str">
        <f>IF(ISERROR('84 8 Vorbereitung'!G18),"",'84 8 Vorbereitung'!G18)</f>
        <v/>
      </c>
    </row>
    <row r="21" spans="1:16">
      <c r="A21" s="2096">
        <v>10</v>
      </c>
      <c r="B21" s="260" t="str">
        <f>IF('84 8 Nachweis'!M21="","",'84 8 Nachweis'!B21)</f>
        <v/>
      </c>
      <c r="C21" s="269" t="str">
        <f>IF(OR('84 8 Nachweis'!M21="",'84 8 Nachweis'!C21=""),"",'84 8 Nachweis'!C21)</f>
        <v/>
      </c>
      <c r="D21" s="270"/>
      <c r="E21" s="271" t="str">
        <f>IF('84 8 Vorbereitung'!K19="","",'84 8 Vorbereitung'!K19)</f>
        <v/>
      </c>
      <c r="F21" s="641" t="str">
        <f>IF('84 8 Nachweis'!M21="","",'84 8 Nachweis'!M21)</f>
        <v/>
      </c>
      <c r="G21" s="272" t="str">
        <f t="shared" si="0"/>
        <v/>
      </c>
      <c r="H21" s="267" t="str">
        <f>IF('84 8 Nachweis'!O21="","",'84 8 Nachweis'!O21)</f>
        <v/>
      </c>
      <c r="I21" s="273" t="str">
        <f>IF('84 8 Nachweis'!P21="","",'84 8 Nachweis'!P21)</f>
        <v/>
      </c>
      <c r="J21" s="274" t="str">
        <f>IF('84 8 Nachweis'!Q21="","",'84 8 Nachweis'!Q21)</f>
        <v/>
      </c>
      <c r="K21" s="644" t="str">
        <f>IF('84 8 Vorbereitung'!B19="","",'84 8 Vorbereitung'!B19)</f>
        <v/>
      </c>
      <c r="L21" s="267" t="str">
        <f>IF('84 8 Vorbereitung'!C19="","",'84 8 Vorbereitung'!C19)</f>
        <v/>
      </c>
      <c r="M21" s="267" t="str">
        <f>IF('84 8 Vorbereitung'!D19="","",'84 8 Vorbereitung'!D19)</f>
        <v/>
      </c>
      <c r="N21" s="267" t="str">
        <f>IF('84 8 Vorbereitung'!E19="","",'84 8 Vorbereitung'!E19)</f>
        <v/>
      </c>
      <c r="O21" s="267" t="str">
        <f>IF('84 8 Vorbereitung'!F19="","",'84 8 Vorbereitung'!F19)</f>
        <v/>
      </c>
      <c r="P21" s="275" t="str">
        <f>IF(ISERROR('84 8 Vorbereitung'!G19),"",'84 8 Vorbereitung'!G19)</f>
        <v/>
      </c>
    </row>
    <row r="22" spans="1:16">
      <c r="A22" s="2096">
        <v>11</v>
      </c>
      <c r="B22" s="260" t="str">
        <f>IF('84 8 Nachweis'!M22="","",'84 8 Nachweis'!B22)</f>
        <v/>
      </c>
      <c r="C22" s="269" t="str">
        <f>IF(OR('84 8 Nachweis'!M22="",'84 8 Nachweis'!C22=""),"",'84 8 Nachweis'!C22)</f>
        <v/>
      </c>
      <c r="D22" s="270"/>
      <c r="E22" s="271" t="str">
        <f>IF('84 8 Vorbereitung'!K20="","",'84 8 Vorbereitung'!K20)</f>
        <v/>
      </c>
      <c r="F22" s="641" t="str">
        <f>IF('84 8 Nachweis'!M22="","",'84 8 Nachweis'!M22)</f>
        <v/>
      </c>
      <c r="G22" s="272" t="str">
        <f t="shared" si="0"/>
        <v/>
      </c>
      <c r="H22" s="267" t="str">
        <f>IF('84 8 Nachweis'!O22="","",'84 8 Nachweis'!O22)</f>
        <v/>
      </c>
      <c r="I22" s="273" t="str">
        <f>IF('84 8 Nachweis'!P22="","",'84 8 Nachweis'!P22)</f>
        <v/>
      </c>
      <c r="J22" s="274" t="str">
        <f>IF('84 8 Nachweis'!Q22="","",'84 8 Nachweis'!Q22)</f>
        <v/>
      </c>
      <c r="K22" s="644" t="str">
        <f>IF('84 8 Vorbereitung'!B20="","",'84 8 Vorbereitung'!B20)</f>
        <v/>
      </c>
      <c r="L22" s="267" t="str">
        <f>IF('84 8 Vorbereitung'!C20="","",'84 8 Vorbereitung'!C20)</f>
        <v/>
      </c>
      <c r="M22" s="267" t="str">
        <f>IF('84 8 Vorbereitung'!D20="","",'84 8 Vorbereitung'!D20)</f>
        <v/>
      </c>
      <c r="N22" s="267" t="str">
        <f>IF('84 8 Vorbereitung'!E20="","",'84 8 Vorbereitung'!E20)</f>
        <v/>
      </c>
      <c r="O22" s="267" t="str">
        <f>IF('84 8 Vorbereitung'!F20="","",'84 8 Vorbereitung'!F20)</f>
        <v/>
      </c>
      <c r="P22" s="275" t="str">
        <f>IF(ISERROR('84 8 Vorbereitung'!G20),"",'84 8 Vorbereitung'!G20)</f>
        <v/>
      </c>
    </row>
    <row r="23" spans="1:16">
      <c r="A23" s="2096">
        <v>12</v>
      </c>
      <c r="B23" s="260" t="str">
        <f>IF('84 8 Nachweis'!M23="","",'84 8 Nachweis'!B23)</f>
        <v/>
      </c>
      <c r="C23" s="269" t="str">
        <f>IF(OR('84 8 Nachweis'!M23="",'84 8 Nachweis'!C23=""),"",'84 8 Nachweis'!C23)</f>
        <v/>
      </c>
      <c r="D23" s="270"/>
      <c r="E23" s="271" t="str">
        <f>IF('84 8 Vorbereitung'!K21="","",'84 8 Vorbereitung'!K21)</f>
        <v/>
      </c>
      <c r="F23" s="641" t="str">
        <f>IF('84 8 Nachweis'!M23="","",'84 8 Nachweis'!M23)</f>
        <v/>
      </c>
      <c r="G23" s="272" t="str">
        <f t="shared" si="0"/>
        <v/>
      </c>
      <c r="H23" s="267" t="str">
        <f>IF('84 8 Nachweis'!O23="","",'84 8 Nachweis'!O23)</f>
        <v/>
      </c>
      <c r="I23" s="273" t="str">
        <f>IF('84 8 Nachweis'!P23="","",'84 8 Nachweis'!P23)</f>
        <v/>
      </c>
      <c r="J23" s="274" t="str">
        <f>IF('84 8 Nachweis'!Q23="","",'84 8 Nachweis'!Q23)</f>
        <v/>
      </c>
      <c r="K23" s="644" t="str">
        <f>IF('84 8 Vorbereitung'!B21="","",'84 8 Vorbereitung'!B21)</f>
        <v/>
      </c>
      <c r="L23" s="267" t="str">
        <f>IF('84 8 Vorbereitung'!C21="","",'84 8 Vorbereitung'!C21)</f>
        <v/>
      </c>
      <c r="M23" s="267" t="str">
        <f>IF('84 8 Vorbereitung'!D21="","",'84 8 Vorbereitung'!D21)</f>
        <v/>
      </c>
      <c r="N23" s="267" t="str">
        <f>IF('84 8 Vorbereitung'!E21="","",'84 8 Vorbereitung'!E21)</f>
        <v/>
      </c>
      <c r="O23" s="267" t="str">
        <f>IF('84 8 Vorbereitung'!F21="","",'84 8 Vorbereitung'!F21)</f>
        <v/>
      </c>
      <c r="P23" s="275" t="str">
        <f>IF(ISERROR('84 8 Vorbereitung'!G21),"",'84 8 Vorbereitung'!G21)</f>
        <v/>
      </c>
    </row>
    <row r="24" spans="1:16">
      <c r="A24" s="2096">
        <v>13</v>
      </c>
      <c r="B24" s="260" t="str">
        <f>IF('84 8 Nachweis'!M24="","",'84 8 Nachweis'!B24)</f>
        <v/>
      </c>
      <c r="C24" s="269" t="str">
        <f>IF(OR('84 8 Nachweis'!M24="",'84 8 Nachweis'!C24=""),"",'84 8 Nachweis'!C24)</f>
        <v/>
      </c>
      <c r="D24" s="270"/>
      <c r="E24" s="271" t="str">
        <f>IF('84 8 Vorbereitung'!K22="","",'84 8 Vorbereitung'!K22)</f>
        <v/>
      </c>
      <c r="F24" s="641" t="str">
        <f>IF('84 8 Nachweis'!M24="","",'84 8 Nachweis'!M24)</f>
        <v/>
      </c>
      <c r="G24" s="272" t="str">
        <f t="shared" si="0"/>
        <v/>
      </c>
      <c r="H24" s="267" t="str">
        <f>IF('84 8 Nachweis'!O24="","",'84 8 Nachweis'!O24)</f>
        <v/>
      </c>
      <c r="I24" s="273" t="str">
        <f>IF('84 8 Nachweis'!P24="","",'84 8 Nachweis'!P24)</f>
        <v/>
      </c>
      <c r="J24" s="274" t="str">
        <f>IF('84 8 Nachweis'!Q24="","",'84 8 Nachweis'!Q24)</f>
        <v/>
      </c>
      <c r="K24" s="644" t="str">
        <f>IF('84 8 Vorbereitung'!B22="","",'84 8 Vorbereitung'!B22)</f>
        <v/>
      </c>
      <c r="L24" s="267" t="str">
        <f>IF('84 8 Vorbereitung'!C22="","",'84 8 Vorbereitung'!C22)</f>
        <v/>
      </c>
      <c r="M24" s="267" t="str">
        <f>IF('84 8 Vorbereitung'!D22="","",'84 8 Vorbereitung'!D22)</f>
        <v/>
      </c>
      <c r="N24" s="267" t="str">
        <f>IF('84 8 Vorbereitung'!E22="","",'84 8 Vorbereitung'!E22)</f>
        <v/>
      </c>
      <c r="O24" s="267" t="str">
        <f>IF('84 8 Vorbereitung'!F22="","",'84 8 Vorbereitung'!F22)</f>
        <v/>
      </c>
      <c r="P24" s="275" t="str">
        <f>IF(ISERROR('84 8 Vorbereitung'!G22),"",'84 8 Vorbereitung'!G22)</f>
        <v/>
      </c>
    </row>
    <row r="25" spans="1:16">
      <c r="A25" s="2096">
        <v>14</v>
      </c>
      <c r="B25" s="260" t="str">
        <f>IF('84 8 Nachweis'!M25="","",'84 8 Nachweis'!B25)</f>
        <v/>
      </c>
      <c r="C25" s="269" t="str">
        <f>IF(OR('84 8 Nachweis'!M25="",'84 8 Nachweis'!C25=""),"",'84 8 Nachweis'!C25)</f>
        <v/>
      </c>
      <c r="D25" s="270"/>
      <c r="E25" s="271" t="str">
        <f>IF('84 8 Vorbereitung'!K23="","",'84 8 Vorbereitung'!K23)</f>
        <v/>
      </c>
      <c r="F25" s="641" t="str">
        <f>IF('84 8 Nachweis'!M25="","",'84 8 Nachweis'!M25)</f>
        <v/>
      </c>
      <c r="G25" s="272" t="str">
        <f t="shared" si="0"/>
        <v/>
      </c>
      <c r="H25" s="267" t="str">
        <f>IF('84 8 Nachweis'!O25="","",'84 8 Nachweis'!O25)</f>
        <v/>
      </c>
      <c r="I25" s="273" t="str">
        <f>IF('84 8 Nachweis'!P25="","",'84 8 Nachweis'!P25)</f>
        <v/>
      </c>
      <c r="J25" s="274" t="str">
        <f>IF('84 8 Nachweis'!Q25="","",'84 8 Nachweis'!Q25)</f>
        <v/>
      </c>
      <c r="K25" s="644" t="str">
        <f>IF('84 8 Vorbereitung'!B23="","",'84 8 Vorbereitung'!B23)</f>
        <v/>
      </c>
      <c r="L25" s="267" t="str">
        <f>IF('84 8 Vorbereitung'!C23="","",'84 8 Vorbereitung'!C23)</f>
        <v/>
      </c>
      <c r="M25" s="267" t="str">
        <f>IF('84 8 Vorbereitung'!D23="","",'84 8 Vorbereitung'!D23)</f>
        <v/>
      </c>
      <c r="N25" s="267" t="str">
        <f>IF('84 8 Vorbereitung'!E23="","",'84 8 Vorbereitung'!E23)</f>
        <v/>
      </c>
      <c r="O25" s="267" t="str">
        <f>IF('84 8 Vorbereitung'!F23="","",'84 8 Vorbereitung'!F23)</f>
        <v/>
      </c>
      <c r="P25" s="275" t="str">
        <f>IF(ISERROR('84 8 Vorbereitung'!G23),"",'84 8 Vorbereitung'!G23)</f>
        <v/>
      </c>
    </row>
    <row r="26" spans="1:16">
      <c r="A26" s="2096">
        <v>15</v>
      </c>
      <c r="B26" s="260" t="str">
        <f>IF('84 8 Nachweis'!M26="","",'84 8 Nachweis'!B26)</f>
        <v/>
      </c>
      <c r="C26" s="269" t="str">
        <f>IF(OR('84 8 Nachweis'!M26="",'84 8 Nachweis'!C26=""),"",'84 8 Nachweis'!C26)</f>
        <v/>
      </c>
      <c r="D26" s="270"/>
      <c r="E26" s="271" t="str">
        <f>IF('84 8 Vorbereitung'!K24="","",'84 8 Vorbereitung'!K24)</f>
        <v/>
      </c>
      <c r="F26" s="641" t="str">
        <f>IF('84 8 Nachweis'!M26="","",'84 8 Nachweis'!M26)</f>
        <v/>
      </c>
      <c r="G26" s="272" t="str">
        <f t="shared" si="0"/>
        <v/>
      </c>
      <c r="H26" s="267" t="str">
        <f>IF('84 8 Nachweis'!O26="","",'84 8 Nachweis'!O26)</f>
        <v/>
      </c>
      <c r="I26" s="273" t="str">
        <f>IF('84 8 Nachweis'!P26="","",'84 8 Nachweis'!P26)</f>
        <v/>
      </c>
      <c r="J26" s="274" t="str">
        <f>IF('84 8 Nachweis'!Q26="","",'84 8 Nachweis'!Q26)</f>
        <v/>
      </c>
      <c r="K26" s="644" t="str">
        <f>IF('84 8 Vorbereitung'!B24="","",'84 8 Vorbereitung'!B24)</f>
        <v/>
      </c>
      <c r="L26" s="267" t="str">
        <f>IF('84 8 Vorbereitung'!C24="","",'84 8 Vorbereitung'!C24)</f>
        <v/>
      </c>
      <c r="M26" s="267" t="str">
        <f>IF('84 8 Vorbereitung'!D24="","",'84 8 Vorbereitung'!D24)</f>
        <v/>
      </c>
      <c r="N26" s="267" t="str">
        <f>IF('84 8 Vorbereitung'!E24="","",'84 8 Vorbereitung'!E24)</f>
        <v/>
      </c>
      <c r="O26" s="267" t="str">
        <f>IF('84 8 Vorbereitung'!F24="","",'84 8 Vorbereitung'!F24)</f>
        <v/>
      </c>
      <c r="P26" s="275" t="str">
        <f>IF(ISERROR('84 8 Vorbereitung'!G24),"",'84 8 Vorbereitung'!G24)</f>
        <v/>
      </c>
    </row>
    <row r="27" spans="1:16">
      <c r="A27" s="2096">
        <v>16</v>
      </c>
      <c r="B27" s="260" t="str">
        <f>IF('84 8 Nachweis'!M27="","",'84 8 Nachweis'!B27)</f>
        <v/>
      </c>
      <c r="C27" s="269" t="str">
        <f>IF(OR('84 8 Nachweis'!M27="",'84 8 Nachweis'!C27=""),"",'84 8 Nachweis'!C27)</f>
        <v/>
      </c>
      <c r="D27" s="270"/>
      <c r="E27" s="271" t="str">
        <f>IF('84 8 Vorbereitung'!K25="","",'84 8 Vorbereitung'!K25)</f>
        <v/>
      </c>
      <c r="F27" s="641" t="str">
        <f>IF('84 8 Nachweis'!M27="","",'84 8 Nachweis'!M27)</f>
        <v/>
      </c>
      <c r="G27" s="272" t="str">
        <f t="shared" si="0"/>
        <v/>
      </c>
      <c r="H27" s="267" t="str">
        <f>IF('84 8 Nachweis'!O27="","",'84 8 Nachweis'!O27)</f>
        <v/>
      </c>
      <c r="I27" s="273" t="str">
        <f>IF('84 8 Nachweis'!P27="","",'84 8 Nachweis'!P27)</f>
        <v/>
      </c>
      <c r="J27" s="274" t="str">
        <f>IF('84 8 Nachweis'!Q27="","",'84 8 Nachweis'!Q27)</f>
        <v/>
      </c>
      <c r="K27" s="644" t="str">
        <f>IF('84 8 Vorbereitung'!B25="","",'84 8 Vorbereitung'!B25)</f>
        <v/>
      </c>
      <c r="L27" s="267" t="str">
        <f>IF('84 8 Vorbereitung'!C25="","",'84 8 Vorbereitung'!C25)</f>
        <v/>
      </c>
      <c r="M27" s="267" t="str">
        <f>IF('84 8 Vorbereitung'!D25="","",'84 8 Vorbereitung'!D25)</f>
        <v/>
      </c>
      <c r="N27" s="267" t="str">
        <f>IF('84 8 Vorbereitung'!E25="","",'84 8 Vorbereitung'!E25)</f>
        <v/>
      </c>
      <c r="O27" s="267" t="str">
        <f>IF('84 8 Vorbereitung'!F25="","",'84 8 Vorbereitung'!F25)</f>
        <v/>
      </c>
      <c r="P27" s="275" t="str">
        <f>IF(ISERROR('84 8 Vorbereitung'!G25),"",'84 8 Vorbereitung'!G25)</f>
        <v/>
      </c>
    </row>
    <row r="28" spans="1:16">
      <c r="A28" s="2096">
        <v>17</v>
      </c>
      <c r="B28" s="260" t="str">
        <f>IF('84 8 Nachweis'!M28="","",'84 8 Nachweis'!B28)</f>
        <v/>
      </c>
      <c r="C28" s="269" t="str">
        <f>IF(OR('84 8 Nachweis'!M28="",'84 8 Nachweis'!C28=""),"",'84 8 Nachweis'!C28)</f>
        <v/>
      </c>
      <c r="D28" s="270"/>
      <c r="E28" s="271" t="str">
        <f>IF('84 8 Vorbereitung'!K26="","",'84 8 Vorbereitung'!K26)</f>
        <v/>
      </c>
      <c r="F28" s="641" t="str">
        <f>IF('84 8 Nachweis'!M28="","",'84 8 Nachweis'!M28)</f>
        <v/>
      </c>
      <c r="G28" s="272" t="str">
        <f t="shared" si="0"/>
        <v/>
      </c>
      <c r="H28" s="267" t="str">
        <f>IF('84 8 Nachweis'!O28="","",'84 8 Nachweis'!O28)</f>
        <v/>
      </c>
      <c r="I28" s="273" t="str">
        <f>IF('84 8 Nachweis'!P28="","",'84 8 Nachweis'!P28)</f>
        <v/>
      </c>
      <c r="J28" s="274" t="str">
        <f>IF('84 8 Nachweis'!Q28="","",'84 8 Nachweis'!Q28)</f>
        <v/>
      </c>
      <c r="K28" s="644" t="str">
        <f>IF('84 8 Vorbereitung'!B26="","",'84 8 Vorbereitung'!B26)</f>
        <v/>
      </c>
      <c r="L28" s="267" t="str">
        <f>IF('84 8 Vorbereitung'!C26="","",'84 8 Vorbereitung'!C26)</f>
        <v/>
      </c>
      <c r="M28" s="267" t="str">
        <f>IF('84 8 Vorbereitung'!D26="","",'84 8 Vorbereitung'!D26)</f>
        <v/>
      </c>
      <c r="N28" s="267" t="str">
        <f>IF('84 8 Vorbereitung'!E26="","",'84 8 Vorbereitung'!E26)</f>
        <v/>
      </c>
      <c r="O28" s="267" t="str">
        <f>IF('84 8 Vorbereitung'!F26="","",'84 8 Vorbereitung'!F26)</f>
        <v/>
      </c>
      <c r="P28" s="275" t="str">
        <f>IF(ISERROR('84 8 Vorbereitung'!G26),"",'84 8 Vorbereitung'!G26)</f>
        <v/>
      </c>
    </row>
    <row r="29" spans="1:16">
      <c r="A29" s="2096">
        <v>18</v>
      </c>
      <c r="B29" s="260" t="str">
        <f>IF('84 8 Nachweis'!M29="","",'84 8 Nachweis'!B29)</f>
        <v/>
      </c>
      <c r="C29" s="269" t="str">
        <f>IF(OR('84 8 Nachweis'!M29="",'84 8 Nachweis'!C29=""),"",'84 8 Nachweis'!C29)</f>
        <v/>
      </c>
      <c r="D29" s="270"/>
      <c r="E29" s="271" t="str">
        <f>IF('84 8 Vorbereitung'!K27="","",'84 8 Vorbereitung'!K27)</f>
        <v/>
      </c>
      <c r="F29" s="641" t="str">
        <f>IF('84 8 Nachweis'!M29="","",'84 8 Nachweis'!M29)</f>
        <v/>
      </c>
      <c r="G29" s="272" t="str">
        <f t="shared" si="0"/>
        <v/>
      </c>
      <c r="H29" s="267" t="str">
        <f>IF('84 8 Nachweis'!O29="","",'84 8 Nachweis'!O29)</f>
        <v/>
      </c>
      <c r="I29" s="273" t="str">
        <f>IF('84 8 Nachweis'!P29="","",'84 8 Nachweis'!P29)</f>
        <v/>
      </c>
      <c r="J29" s="274" t="str">
        <f>IF('84 8 Nachweis'!Q29="","",'84 8 Nachweis'!Q29)</f>
        <v/>
      </c>
      <c r="K29" s="644" t="str">
        <f>IF('84 8 Vorbereitung'!B27="","",'84 8 Vorbereitung'!B27)</f>
        <v/>
      </c>
      <c r="L29" s="267" t="str">
        <f>IF('84 8 Vorbereitung'!C27="","",'84 8 Vorbereitung'!C27)</f>
        <v/>
      </c>
      <c r="M29" s="267" t="str">
        <f>IF('84 8 Vorbereitung'!D27="","",'84 8 Vorbereitung'!D27)</f>
        <v/>
      </c>
      <c r="N29" s="267" t="str">
        <f>IF('84 8 Vorbereitung'!E27="","",'84 8 Vorbereitung'!E27)</f>
        <v/>
      </c>
      <c r="O29" s="267" t="str">
        <f>IF('84 8 Vorbereitung'!F27="","",'84 8 Vorbereitung'!F27)</f>
        <v/>
      </c>
      <c r="P29" s="275" t="str">
        <f>IF(ISERROR('84 8 Vorbereitung'!G27),"",'84 8 Vorbereitung'!G27)</f>
        <v/>
      </c>
    </row>
    <row r="30" spans="1:16">
      <c r="A30" s="2096">
        <v>19</v>
      </c>
      <c r="B30" s="260" t="str">
        <f>IF('84 8 Nachweis'!M30="","",'84 8 Nachweis'!B30)</f>
        <v/>
      </c>
      <c r="C30" s="269" t="str">
        <f>IF(OR('84 8 Nachweis'!M30="",'84 8 Nachweis'!C30=""),"",'84 8 Nachweis'!C30)</f>
        <v/>
      </c>
      <c r="D30" s="270"/>
      <c r="E30" s="271" t="str">
        <f>IF('84 8 Vorbereitung'!K28="","",'84 8 Vorbereitung'!K28)</f>
        <v/>
      </c>
      <c r="F30" s="641" t="str">
        <f>IF('84 8 Nachweis'!M30="","",'84 8 Nachweis'!M30)</f>
        <v/>
      </c>
      <c r="G30" s="272" t="str">
        <f t="shared" si="0"/>
        <v/>
      </c>
      <c r="H30" s="267" t="str">
        <f>IF('84 8 Nachweis'!O30="","",'84 8 Nachweis'!O30)</f>
        <v/>
      </c>
      <c r="I30" s="273" t="str">
        <f>IF('84 8 Nachweis'!P30="","",'84 8 Nachweis'!P30)</f>
        <v/>
      </c>
      <c r="J30" s="274" t="str">
        <f>IF('84 8 Nachweis'!Q30="","",'84 8 Nachweis'!Q30)</f>
        <v/>
      </c>
      <c r="K30" s="644" t="str">
        <f>IF('84 8 Vorbereitung'!B28="","",'84 8 Vorbereitung'!B28)</f>
        <v/>
      </c>
      <c r="L30" s="267" t="str">
        <f>IF('84 8 Vorbereitung'!C28="","",'84 8 Vorbereitung'!C28)</f>
        <v/>
      </c>
      <c r="M30" s="267" t="str">
        <f>IF('84 8 Vorbereitung'!D28="","",'84 8 Vorbereitung'!D28)</f>
        <v/>
      </c>
      <c r="N30" s="267" t="str">
        <f>IF('84 8 Vorbereitung'!E28="","",'84 8 Vorbereitung'!E28)</f>
        <v/>
      </c>
      <c r="O30" s="267" t="str">
        <f>IF('84 8 Vorbereitung'!F28="","",'84 8 Vorbereitung'!F28)</f>
        <v/>
      </c>
      <c r="P30" s="275" t="str">
        <f>IF(ISERROR('84 8 Vorbereitung'!G28),"",'84 8 Vorbereitung'!G28)</f>
        <v/>
      </c>
    </row>
    <row r="31" spans="1:16" ht="13.5" thickBot="1">
      <c r="A31" s="2096">
        <v>20</v>
      </c>
      <c r="B31" s="260" t="str">
        <f>IF('84 8 Nachweis'!M31="","",'84 8 Nachweis'!B31)</f>
        <v/>
      </c>
      <c r="C31" s="276" t="str">
        <f>IF(OR('84 8 Nachweis'!M31="",'84 8 Nachweis'!C31=""),"",'84 8 Nachweis'!C31)</f>
        <v/>
      </c>
      <c r="D31" s="277"/>
      <c r="E31" s="319" t="str">
        <f>IF('84 8 Vorbereitung'!K29="","",'84 8 Vorbereitung'!K29)</f>
        <v/>
      </c>
      <c r="F31" s="642" t="str">
        <f>IF('84 8 Nachweis'!M31="","",'84 8 Nachweis'!M31)</f>
        <v/>
      </c>
      <c r="G31" s="278" t="str">
        <f t="shared" si="0"/>
        <v/>
      </c>
      <c r="H31" s="267" t="str">
        <f>IF('84 8 Nachweis'!O31="","",'84 8 Nachweis'!O31)</f>
        <v/>
      </c>
      <c r="I31" s="279" t="str">
        <f>IF('84 8 Nachweis'!P31="","",'84 8 Nachweis'!P31)</f>
        <v/>
      </c>
      <c r="J31" s="280" t="str">
        <f>IF('84 8 Nachweis'!Q31="","",'84 8 Nachweis'!Q31)</f>
        <v/>
      </c>
      <c r="K31" s="644" t="str">
        <f>IF('84 8 Vorbereitung'!B29="","",'84 8 Vorbereitung'!B29)</f>
        <v/>
      </c>
      <c r="L31" s="267" t="str">
        <f>IF('84 8 Vorbereitung'!C29="","",'84 8 Vorbereitung'!C29)</f>
        <v/>
      </c>
      <c r="M31" s="267" t="str">
        <f>IF('84 8 Vorbereitung'!D29="","",'84 8 Vorbereitung'!D29)</f>
        <v/>
      </c>
      <c r="N31" s="278" t="str">
        <f>IF('84 8 Vorbereitung'!E29="","",'84 8 Vorbereitung'!E29)</f>
        <v/>
      </c>
      <c r="O31" s="278" t="str">
        <f>IF('84 8 Vorbereitung'!F29="","",'84 8 Vorbereitung'!F29)</f>
        <v/>
      </c>
      <c r="P31" s="281" t="str">
        <f>IF(ISERROR('84 8 Vorbereitung'!G29),"",'84 8 Vorbereitung'!G29)</f>
        <v/>
      </c>
    </row>
    <row r="32" spans="1:16">
      <c r="A32" s="2086"/>
      <c r="B32" s="230"/>
      <c r="C32" s="282" t="s">
        <v>1133</v>
      </c>
      <c r="D32" s="283"/>
      <c r="E32" s="284"/>
      <c r="F32" s="643" t="str">
        <f>IF(SUM(F12:F31)=0,"",SUM(F12:F31))</f>
        <v/>
      </c>
      <c r="G32" s="285" t="str">
        <f>IF(SUM(G12:G31)=0,"",SUM(G12:G31))</f>
        <v/>
      </c>
      <c r="H32" s="286"/>
      <c r="I32" s="287" t="str">
        <f>IF(SUM(I12:I31)=0,"",SUM(I12:I31))</f>
        <v/>
      </c>
      <c r="J32" s="287" t="str">
        <f>IF(SUM(J12:J31)=0,"",SUM(J12:J31))</f>
        <v/>
      </c>
      <c r="K32" s="645" t="str">
        <f>IF(SUM(K12:K31)=0,"",SUM(K12:K31))</f>
        <v/>
      </c>
      <c r="L32" s="286" t="str">
        <f>IF(SUM(L12:L31)&lt;&gt;0,SUM(L12:L31),IF(F32="","",SUM(L12:L31)))</f>
        <v/>
      </c>
      <c r="M32" s="286"/>
      <c r="N32" s="287" t="str">
        <f>IF(SUM(N12:N31)&lt;&gt;0,SUM(N12:N31),IF(J32="","",SUM(N12:N31)))</f>
        <v/>
      </c>
      <c r="O32" s="287" t="str">
        <f>IF(SUM(O12:O31)&lt;&gt;0,SUM(O12:O31),IF(K32="","",SUM(O12:O31)))</f>
        <v/>
      </c>
      <c r="P32" s="232"/>
    </row>
    <row r="33" spans="1:17" ht="13.5" thickBot="1">
      <c r="A33" s="2096"/>
      <c r="B33" s="233"/>
      <c r="C33" s="288" t="s">
        <v>1134</v>
      </c>
      <c r="D33" s="289"/>
      <c r="E33" s="290"/>
      <c r="F33" s="291"/>
      <c r="G33" s="292" t="str">
        <f>IF(F32="","",ROUND(G32/F32,2))</f>
        <v/>
      </c>
      <c r="H33" s="293"/>
      <c r="I33" s="235"/>
      <c r="J33" s="294" t="str">
        <f>IF(F32="","",ROUND(J32/F32,2))</f>
        <v/>
      </c>
      <c r="K33" s="291"/>
      <c r="L33" s="294" t="str">
        <f>IF(K32="","",ROUND(L32/K32,2))</f>
        <v/>
      </c>
      <c r="M33" s="293"/>
      <c r="N33" s="235"/>
      <c r="O33" s="294" t="str">
        <f>IF(K32="","",ROUND(O32/K32,2))</f>
        <v/>
      </c>
      <c r="P33" s="236"/>
    </row>
    <row r="34" spans="1:17" ht="16.5" thickBot="1">
      <c r="A34" s="2096"/>
      <c r="B34" s="295" t="s">
        <v>1135</v>
      </c>
      <c r="C34" s="4812" t="s">
        <v>1136</v>
      </c>
      <c r="D34" s="4813"/>
      <c r="E34" s="4813"/>
      <c r="F34" s="4813"/>
      <c r="G34" s="4813"/>
      <c r="H34" s="4813"/>
      <c r="I34" s="4813"/>
      <c r="J34" s="4814"/>
      <c r="K34" s="4815" t="s">
        <v>1093</v>
      </c>
      <c r="L34" s="4803"/>
      <c r="M34" s="4803"/>
      <c r="N34" s="4803"/>
      <c r="O34" s="4803"/>
      <c r="P34" s="4804"/>
    </row>
    <row r="35" spans="1:17">
      <c r="A35" s="2096"/>
      <c r="B35" s="296" t="str">
        <f>IF('84 8 Vorbereitung'!A63="","",'84 8 Vorbereitung'!A63)</f>
        <v/>
      </c>
      <c r="C35" s="297" t="str">
        <f>IF('84 8 Vorbereitung'!B63="","",'84 8 Vorbereitung'!B63)</f>
        <v/>
      </c>
      <c r="D35" s="298"/>
      <c r="E35" s="299"/>
      <c r="F35" s="299"/>
      <c r="G35" s="299"/>
      <c r="H35" s="299"/>
      <c r="I35" s="299"/>
      <c r="J35" s="300"/>
      <c r="K35" s="301" t="str">
        <f>IF('84 8 Vorbereitung'!B33="","",'84 8 Vorbereitung'!B33)</f>
        <v>Sonstige Kosten</v>
      </c>
      <c r="L35" s="302"/>
      <c r="M35" s="302"/>
      <c r="N35" s="303"/>
      <c r="O35" s="267">
        <f>IF('84 8 Vorbereitung'!F33="","",'84 8 Vorbereitung'!F33)</f>
        <v>0</v>
      </c>
      <c r="P35" s="232"/>
    </row>
    <row r="36" spans="1:17">
      <c r="A36" s="2096"/>
      <c r="B36" s="296" t="str">
        <f>IF('84 8 Vorbereitung'!A64="","",'84 8 Vorbereitung'!A64)</f>
        <v/>
      </c>
      <c r="C36" s="304" t="str">
        <f>IF('84 8 Vorbereitung'!B64="","",'84 8 Vorbereitung'!B64)</f>
        <v/>
      </c>
      <c r="D36" s="305"/>
      <c r="E36" s="305"/>
      <c r="F36" s="305"/>
      <c r="G36" s="305"/>
      <c r="H36" s="305"/>
      <c r="I36" s="305"/>
      <c r="J36" s="306"/>
      <c r="K36" s="307" t="str">
        <f>IF('84 8 Vorbereitung'!B34="","",'84 8 Vorbereitung'!B34)</f>
        <v/>
      </c>
      <c r="L36" s="308"/>
      <c r="M36" s="308"/>
      <c r="N36" s="309"/>
      <c r="O36" s="267" t="str">
        <f>IF('84 8 Vorbereitung'!F34="","",'84 8 Vorbereitung'!F34)</f>
        <v/>
      </c>
      <c r="P36" s="232"/>
    </row>
    <row r="37" spans="1:17">
      <c r="A37" s="2096"/>
      <c r="B37" s="296" t="str">
        <f>IF('84 8 Vorbereitung'!A65="","",'84 8 Vorbereitung'!A65)</f>
        <v/>
      </c>
      <c r="C37" s="304" t="str">
        <f>IF('84 8 Vorbereitung'!B65="","",'84 8 Vorbereitung'!B65)</f>
        <v/>
      </c>
      <c r="D37" s="305"/>
      <c r="E37" s="305"/>
      <c r="F37" s="305"/>
      <c r="G37" s="305"/>
      <c r="H37" s="305"/>
      <c r="I37" s="305"/>
      <c r="J37" s="306"/>
      <c r="K37" s="307" t="str">
        <f>IF('84 8 Vorbereitung'!B35="","",'84 8 Vorbereitung'!B35)</f>
        <v/>
      </c>
      <c r="L37" s="308"/>
      <c r="M37" s="308"/>
      <c r="N37" s="309"/>
      <c r="O37" s="267" t="str">
        <f>IF('84 8 Vorbereitung'!F35="","",'84 8 Vorbereitung'!F35)</f>
        <v/>
      </c>
      <c r="P37" s="232"/>
    </row>
    <row r="38" spans="1:17" ht="13.5" thickBot="1">
      <c r="A38" s="2096"/>
      <c r="B38" s="296" t="str">
        <f>IF('84 8 Vorbereitung'!A66="","",'84 8 Vorbereitung'!A66)</f>
        <v/>
      </c>
      <c r="C38" s="304" t="str">
        <f>IF('84 8 Vorbereitung'!B66="","",'84 8 Vorbereitung'!B66)</f>
        <v/>
      </c>
      <c r="D38" s="305"/>
      <c r="E38" s="305"/>
      <c r="F38" s="305"/>
      <c r="G38" s="305"/>
      <c r="H38" s="305"/>
      <c r="I38" s="305"/>
      <c r="J38" s="306"/>
      <c r="K38" s="307" t="str">
        <f>IF('84 8 Vorbereitung'!B36="","",'84 8 Vorbereitung'!B36)</f>
        <v/>
      </c>
      <c r="L38" s="310"/>
      <c r="M38" s="310"/>
      <c r="N38" s="311"/>
      <c r="O38" s="278" t="str">
        <f>IF('84 8 Vorbereitung'!F36="","",'84 8 Vorbereitung'!F36)</f>
        <v/>
      </c>
      <c r="P38" s="2098"/>
    </row>
    <row r="39" spans="1:17">
      <c r="A39" s="2096"/>
      <c r="B39" s="296" t="str">
        <f>IF('84 8 Vorbereitung'!A67="","",'84 8 Vorbereitung'!A67)</f>
        <v/>
      </c>
      <c r="C39" s="304" t="str">
        <f>IF('84 8 Vorbereitung'!B67="","",'84 8 Vorbereitung'!B67)</f>
        <v/>
      </c>
      <c r="D39" s="305"/>
      <c r="E39" s="305"/>
      <c r="F39" s="305"/>
      <c r="G39" s="305"/>
      <c r="H39" s="305"/>
      <c r="I39" s="305"/>
      <c r="J39" s="306"/>
      <c r="K39" s="4816" t="s">
        <v>1137</v>
      </c>
      <c r="L39" s="4817"/>
      <c r="M39" s="4817"/>
      <c r="N39" s="351"/>
      <c r="O39" s="312">
        <f>SUM(O35:O38)</f>
        <v>0</v>
      </c>
      <c r="P39" s="237" t="str">
        <f>IF(F38="","",(L39/K39-G38/F38)/(G38/F38))</f>
        <v/>
      </c>
    </row>
    <row r="40" spans="1:17" ht="13.5" thickBot="1">
      <c r="A40" s="2096"/>
      <c r="B40" s="296" t="str">
        <f>IF('84 8 Vorbereitung'!A68="","",'84 8 Vorbereitung'!A68)</f>
        <v/>
      </c>
      <c r="C40" s="304" t="str">
        <f>IF('84 8 Vorbereitung'!B68="","",'84 8 Vorbereitung'!B68)</f>
        <v/>
      </c>
      <c r="D40" s="305"/>
      <c r="E40" s="305"/>
      <c r="F40" s="305"/>
      <c r="G40" s="305"/>
      <c r="H40" s="305"/>
      <c r="I40" s="305"/>
      <c r="J40" s="306"/>
      <c r="K40" s="349"/>
      <c r="L40" s="350"/>
      <c r="M40" s="350" t="str">
        <f>IF(K40="","",L40/K40)</f>
        <v/>
      </c>
      <c r="N40" s="350"/>
      <c r="O40" s="350" t="str">
        <f>IF(L40="","",L40+N40)</f>
        <v/>
      </c>
      <c r="P40" s="236" t="str">
        <f>IF(F40="","",(L40/K40-G40/F40)/(G40/F40))</f>
        <v/>
      </c>
    </row>
    <row r="41" spans="1:17" ht="13.5" customHeight="1" thickBot="1">
      <c r="A41" s="2096"/>
      <c r="B41" s="313" t="str">
        <f>IF('84 8 Vorbereitung'!A69="","",'84 8 Vorbereitung'!A69)</f>
        <v/>
      </c>
      <c r="C41" s="314" t="str">
        <f>IF('84 8 Vorbereitung'!B69="","",'84 8 Vorbereitung'!B69)</f>
        <v/>
      </c>
      <c r="D41" s="315"/>
      <c r="E41" s="315"/>
      <c r="F41" s="315"/>
      <c r="G41" s="315"/>
      <c r="H41" s="315"/>
      <c r="I41" s="315"/>
      <c r="J41" s="316"/>
      <c r="K41" s="4798" t="s">
        <v>1138</v>
      </c>
      <c r="L41" s="4799"/>
      <c r="M41" s="4799"/>
      <c r="N41" s="317"/>
      <c r="O41" s="318" t="e">
        <f>+O39+O32</f>
        <v>#VALUE!</v>
      </c>
      <c r="P41" s="238" t="str">
        <f>IF(F41="","",(L41/K41-G41/F41)/(G41/F41))</f>
        <v/>
      </c>
    </row>
    <row r="42" spans="1:17" ht="13.5" thickBot="1">
      <c r="A42" s="239"/>
      <c r="B42" s="240"/>
      <c r="C42" s="240"/>
      <c r="D42" s="240"/>
      <c r="E42" s="240"/>
      <c r="F42" s="241"/>
      <c r="G42" s="242"/>
      <c r="H42" s="242"/>
      <c r="I42" s="242"/>
      <c r="J42" s="242"/>
      <c r="K42" s="242"/>
      <c r="L42" s="242"/>
      <c r="M42" s="242"/>
      <c r="N42" s="242"/>
      <c r="O42" s="242"/>
      <c r="P42" s="243"/>
    </row>
    <row r="43" spans="1:17" ht="21.75" thickBot="1">
      <c r="A43" s="2099"/>
      <c r="B43" s="2100"/>
      <c r="C43" s="2100"/>
      <c r="D43" s="2100"/>
      <c r="E43" s="2100"/>
      <c r="F43" s="2100"/>
      <c r="G43" s="2101"/>
      <c r="H43" s="4818" t="s">
        <v>1099</v>
      </c>
      <c r="I43" s="4818"/>
      <c r="J43" s="4818"/>
      <c r="K43" s="4818"/>
      <c r="L43" s="4818"/>
      <c r="M43" s="4818"/>
      <c r="N43" s="4818"/>
      <c r="O43" s="4818"/>
      <c r="P43" s="4819"/>
    </row>
    <row r="44" spans="1:17" ht="18" thickBot="1">
      <c r="A44" s="2086"/>
      <c r="B44" s="2102" t="s">
        <v>1528</v>
      </c>
      <c r="C44" s="2103"/>
      <c r="D44" s="2104"/>
      <c r="E44" s="2104"/>
      <c r="F44" s="2104"/>
      <c r="G44" s="2105"/>
      <c r="H44" s="4820" t="s">
        <v>881</v>
      </c>
      <c r="I44" s="4820"/>
      <c r="J44" s="4821">
        <f>'84 8 Übersicht'!C40</f>
        <v>0</v>
      </c>
      <c r="K44" s="4821"/>
      <c r="L44" s="4821"/>
      <c r="M44" s="4822" t="str">
        <f>IF(J44=0,"","Veränderungsrate:   "&amp;TEXT('84 8 Übersicht'!D41/('84 8 Übersicht'!C40)-1,"0,00 %"))</f>
        <v/>
      </c>
      <c r="N44" s="4823"/>
      <c r="O44" s="4824"/>
      <c r="P44" s="2106" t="s">
        <v>80</v>
      </c>
    </row>
    <row r="45" spans="1:17" ht="15.75">
      <c r="A45" s="2086"/>
      <c r="B45" s="2104" t="s">
        <v>1139</v>
      </c>
      <c r="C45" s="2104"/>
      <c r="D45" s="2104"/>
      <c r="E45" s="2104"/>
      <c r="F45" s="2104"/>
      <c r="G45" s="2105"/>
      <c r="H45" s="4825" t="s">
        <v>1448</v>
      </c>
      <c r="I45" s="4825"/>
      <c r="J45" s="4825"/>
      <c r="K45" s="4825"/>
      <c r="L45" s="4826"/>
      <c r="M45" s="4827" t="str">
        <f>IF('84 8 Vorbereitung'!F43="","",'84 8 Vorbereitung'!F43)</f>
        <v/>
      </c>
      <c r="N45" s="4828"/>
      <c r="O45" s="4829"/>
      <c r="P45" s="2107" t="str">
        <f>'84 8 Übersicht'!G28</f>
        <v/>
      </c>
      <c r="Q45" s="2108" t="str">
        <f>'84 8 Übersicht'!D17</f>
        <v>nein</v>
      </c>
    </row>
    <row r="46" spans="1:17" ht="15.75">
      <c r="A46" s="2086"/>
      <c r="B46" s="2104" t="s">
        <v>1140</v>
      </c>
      <c r="C46" s="2104"/>
      <c r="D46" s="2104"/>
      <c r="E46" s="2104"/>
      <c r="F46" s="2104"/>
      <c r="G46" s="2105"/>
      <c r="H46" s="4830" t="str">
        <f>IF('84 8 Vorbereitung'!G6="","",'84 8 Vorbereitung'!B44)</f>
        <v/>
      </c>
      <c r="I46" s="4830"/>
      <c r="J46" s="4830"/>
      <c r="K46" s="4830"/>
      <c r="L46" s="4831"/>
      <c r="M46" s="4832" t="str">
        <f>IF('84 8 Vorbereitung'!F44=0,"",'84 8 Vorbereitung'!F44)</f>
        <v/>
      </c>
      <c r="N46" s="4833"/>
      <c r="O46" s="4834"/>
      <c r="P46" s="2109"/>
    </row>
    <row r="47" spans="1:17" ht="16.5" thickBot="1">
      <c r="A47" s="2086"/>
      <c r="B47" s="2104" t="s">
        <v>1141</v>
      </c>
      <c r="C47" s="2104"/>
      <c r="D47" s="2104"/>
      <c r="E47" s="2104"/>
      <c r="F47" s="2104"/>
      <c r="G47" s="2105"/>
      <c r="H47" s="4835" t="str">
        <f>IF('84 8 Vorbereitung'!G6="","",'84 8 Vorbereitung'!B45)</f>
        <v/>
      </c>
      <c r="I47" s="4835"/>
      <c r="J47" s="4835"/>
      <c r="K47" s="4835"/>
      <c r="L47" s="4836"/>
      <c r="M47" s="4837" t="str">
        <f>IF('84 8 Übersicht'!D17="ja","",'84 8 Vorbereitung'!F45)</f>
        <v/>
      </c>
      <c r="N47" s="4838"/>
      <c r="O47" s="4839"/>
      <c r="P47" s="2110"/>
    </row>
    <row r="48" spans="1:17" ht="15.75">
      <c r="A48" s="2086"/>
      <c r="B48" s="2104" t="s">
        <v>1142</v>
      </c>
      <c r="C48" s="2104"/>
      <c r="D48" s="2104"/>
      <c r="E48" s="2104"/>
      <c r="F48" s="2104"/>
      <c r="G48" s="2105"/>
      <c r="H48" s="4840" t="s">
        <v>882</v>
      </c>
      <c r="I48" s="4840"/>
      <c r="J48" s="4841" t="str">
        <f>'84 8 Übersicht'!C45</f>
        <v/>
      </c>
      <c r="K48" s="4841"/>
      <c r="L48" s="4841"/>
      <c r="M48" s="4842"/>
      <c r="N48" s="4843"/>
      <c r="O48" s="4844"/>
      <c r="P48" s="2110"/>
    </row>
    <row r="49" spans="1:17" ht="15.75">
      <c r="A49" s="2086"/>
      <c r="B49" s="2104"/>
      <c r="C49" s="2104"/>
      <c r="D49" s="2104"/>
      <c r="E49" s="2104"/>
      <c r="F49" s="2104"/>
      <c r="G49" s="2105"/>
      <c r="H49" s="4846" t="s">
        <v>1449</v>
      </c>
      <c r="I49" s="4846"/>
      <c r="J49" s="4846"/>
      <c r="K49" s="4846"/>
      <c r="L49" s="4847"/>
      <c r="M49" s="4848" t="str">
        <f>IF('84 8 Vorbereitung'!F47="","",'84 8 Vorbereitung'!F47)</f>
        <v/>
      </c>
      <c r="N49" s="4849"/>
      <c r="O49" s="4850"/>
      <c r="P49" s="2111" t="e">
        <f>P45/30.42</f>
        <v>#VALUE!</v>
      </c>
      <c r="Q49" s="2108" t="e">
        <v>#REF!</v>
      </c>
    </row>
    <row r="50" spans="1:17" ht="15.75">
      <c r="A50" s="2086"/>
      <c r="B50" s="2104"/>
      <c r="C50" s="2104"/>
      <c r="D50" s="2104"/>
      <c r="E50" s="2104"/>
      <c r="F50" s="2104"/>
      <c r="G50" s="2105"/>
      <c r="H50" s="4846" t="str">
        <f>IF('84 8 Vorbereitung'!G6="","",'84 8 Vorbereitung'!B48)</f>
        <v/>
      </c>
      <c r="I50" s="4846"/>
      <c r="J50" s="4846"/>
      <c r="K50" s="4846"/>
      <c r="L50" s="4847"/>
      <c r="M50" s="4851" t="str">
        <f>IF('84 8 Vorbereitung'!F48=0,"",'84 8 Vorbereitung'!F48)</f>
        <v/>
      </c>
      <c r="N50" s="4852"/>
      <c r="O50" s="4853"/>
      <c r="P50" s="2112"/>
    </row>
    <row r="51" spans="1:17" ht="16.5" thickBot="1">
      <c r="A51" s="2113"/>
      <c r="B51" s="2114"/>
      <c r="C51" s="2114"/>
      <c r="D51" s="2114"/>
      <c r="E51" s="2114"/>
      <c r="F51" s="2114"/>
      <c r="G51" s="2115"/>
      <c r="H51" s="4854" t="str">
        <f>IF('84 8 Vorbereitung'!G6="","",'84 8 Vorbereitung'!B49)</f>
        <v/>
      </c>
      <c r="I51" s="4854"/>
      <c r="J51" s="4854"/>
      <c r="K51" s="4854"/>
      <c r="L51" s="4855"/>
      <c r="M51" s="4856" t="str">
        <f>IF(AND('84 8 Vorbereitung'!F49=0,'84 8 Vorbereitung'!G6=""),"",'84 8 Vorbereitung'!F49)</f>
        <v/>
      </c>
      <c r="N51" s="4857"/>
      <c r="O51" s="4858"/>
      <c r="P51" s="2116"/>
    </row>
    <row r="53" spans="1:17">
      <c r="B53" s="4845"/>
      <c r="C53" s="4845"/>
    </row>
    <row r="54" spans="1:17">
      <c r="B54" s="4845"/>
      <c r="C54" s="4845"/>
    </row>
  </sheetData>
  <sheetProtection selectLockedCells="1"/>
  <mergeCells count="40">
    <mergeCell ref="B53:C53"/>
    <mergeCell ref="B54:C54"/>
    <mergeCell ref="H49:L49"/>
    <mergeCell ref="M49:O49"/>
    <mergeCell ref="H50:L50"/>
    <mergeCell ref="M50:O50"/>
    <mergeCell ref="H51:L51"/>
    <mergeCell ref="M51:O51"/>
    <mergeCell ref="H46:L46"/>
    <mergeCell ref="M46:O46"/>
    <mergeCell ref="H47:L47"/>
    <mergeCell ref="M47:O47"/>
    <mergeCell ref="H48:I48"/>
    <mergeCell ref="J48:L48"/>
    <mergeCell ref="M48:O48"/>
    <mergeCell ref="H43:P43"/>
    <mergeCell ref="H44:I44"/>
    <mergeCell ref="J44:L44"/>
    <mergeCell ref="M44:O44"/>
    <mergeCell ref="H45:L45"/>
    <mergeCell ref="M45:O45"/>
    <mergeCell ref="S9:T9"/>
    <mergeCell ref="C11:D11"/>
    <mergeCell ref="C34:J34"/>
    <mergeCell ref="K34:P34"/>
    <mergeCell ref="K39:M39"/>
    <mergeCell ref="K41:M41"/>
    <mergeCell ref="D6:E6"/>
    <mergeCell ref="F8:J8"/>
    <mergeCell ref="K8:O8"/>
    <mergeCell ref="B9:B10"/>
    <mergeCell ref="C9:D10"/>
    <mergeCell ref="E9:E10"/>
    <mergeCell ref="D5:E5"/>
    <mergeCell ref="K5:M5"/>
    <mergeCell ref="A1:P1"/>
    <mergeCell ref="A2:P2"/>
    <mergeCell ref="B3:F3"/>
    <mergeCell ref="H3:J3"/>
    <mergeCell ref="M3:P3"/>
  </mergeCells>
  <conditionalFormatting sqref="M50:O50">
    <cfRule type="expression" dxfId="80" priority="8" stopIfTrue="1">
      <formula>ISERROR(M50)</formula>
    </cfRule>
  </conditionalFormatting>
  <conditionalFormatting sqref="M51:O51">
    <cfRule type="containsErrors" dxfId="79" priority="6">
      <formula>ISERROR(M51)</formula>
    </cfRule>
    <cfRule type="containsErrors" dxfId="78" priority="7">
      <formula>ISERROR(M51)</formula>
    </cfRule>
    <cfRule type="expression" dxfId="77" priority="9" stopIfTrue="1">
      <formula>ISERROR(M51)</formula>
    </cfRule>
    <cfRule type="expression" dxfId="76" priority="10" stopIfTrue="1">
      <formula>$M$50=""</formula>
    </cfRule>
  </conditionalFormatting>
  <conditionalFormatting sqref="M46:O46">
    <cfRule type="expression" dxfId="75" priority="11" stopIfTrue="1">
      <formula>ISERROR($M$46)</formula>
    </cfRule>
  </conditionalFormatting>
  <conditionalFormatting sqref="M45:O45">
    <cfRule type="expression" dxfId="74" priority="12" stopIfTrue="1">
      <formula>Q45="ja"</formula>
    </cfRule>
    <cfRule type="expression" dxfId="73" priority="13" stopIfTrue="1">
      <formula>ISERROR(M45)</formula>
    </cfRule>
  </conditionalFormatting>
  <conditionalFormatting sqref="M44:O44">
    <cfRule type="expression" dxfId="72" priority="14" stopIfTrue="1">
      <formula>ISERROR(M44)</formula>
    </cfRule>
  </conditionalFormatting>
  <conditionalFormatting sqref="M49:O49">
    <cfRule type="containsErrors" dxfId="71" priority="5">
      <formula>ISERROR(M49)</formula>
    </cfRule>
    <cfRule type="expression" dxfId="70" priority="15" stopIfTrue="1">
      <formula>Q49="nein"</formula>
    </cfRule>
    <cfRule type="expression" dxfId="69" priority="16" stopIfTrue="1">
      <formula>ISERROR($M$49)</formula>
    </cfRule>
  </conditionalFormatting>
  <conditionalFormatting sqref="O41">
    <cfRule type="expression" dxfId="68" priority="17" stopIfTrue="1">
      <formula>ISERROR($O$41)</formula>
    </cfRule>
  </conditionalFormatting>
  <conditionalFormatting sqref="M47:O47">
    <cfRule type="cellIs" dxfId="67" priority="18" stopIfTrue="1" operator="equal">
      <formula>$M$45</formula>
    </cfRule>
    <cfRule type="expression" dxfId="66" priority="19" stopIfTrue="1">
      <formula>$M$46=0</formula>
    </cfRule>
    <cfRule type="expression" dxfId="65" priority="20" stopIfTrue="1">
      <formula>ISERROR($M$47)</formula>
    </cfRule>
  </conditionalFormatting>
  <conditionalFormatting sqref="O39">
    <cfRule type="cellIs" dxfId="64" priority="4" operator="equal">
      <formula>0</formula>
    </cfRule>
  </conditionalFormatting>
  <conditionalFormatting sqref="P49">
    <cfRule type="containsErrors" dxfId="63" priority="3">
      <formula>ISERROR(P49)</formula>
    </cfRule>
  </conditionalFormatting>
  <conditionalFormatting sqref="D6:E6">
    <cfRule type="expression" dxfId="62" priority="1">
      <formula>$D$6="Forderung"</formula>
    </cfRule>
    <cfRule type="expression" dxfId="61" priority="2">
      <formula>$D$6="Ergebnis"</formula>
    </cfRule>
  </conditionalFormatting>
  <dataValidations count="1">
    <dataValidation type="list" allowBlank="1" showInputMessage="1" showErrorMessage="1" prompt="Bitte aus der Liste auswählen." sqref="D6:E6">
      <formula1>"Angebot,Ergebnis"</formula1>
    </dataValidation>
  </dataValidations>
  <printOptions horizontalCentered="1"/>
  <pageMargins left="0.15748031496062992" right="0.15748031496062992" top="0.70866141732283472" bottom="0.47244094488188981" header="0.39370078740157483" footer="0.23622047244094491"/>
  <pageSetup paperSize="9" scale="65" orientation="landscape" cellComments="asDisplayed" r:id="rId1"/>
  <headerFooter alignWithMargins="0">
    <oddFooter>&amp;L&amp;F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Q144"/>
  <sheetViews>
    <sheetView workbookViewId="0">
      <selection activeCell="D48" sqref="D48"/>
    </sheetView>
  </sheetViews>
  <sheetFormatPr baseColWidth="10" defaultRowHeight="12.75" outlineLevelRow="1"/>
  <cols>
    <col min="1" max="1" width="3.28515625" customWidth="1"/>
    <col min="3" max="3" width="33.7109375" customWidth="1"/>
    <col min="4" max="4" width="13" customWidth="1"/>
    <col min="5" max="5" width="14.42578125" customWidth="1"/>
    <col min="6" max="6" width="12.5703125" customWidth="1"/>
    <col min="7" max="7" width="13.140625" customWidth="1"/>
    <col min="8" max="8" width="43.28515625" customWidth="1"/>
    <col min="10" max="15" width="12.7109375" customWidth="1"/>
  </cols>
  <sheetData>
    <row r="1" spans="1:15" ht="13.5" thickBot="1">
      <c r="A1" s="14" t="s">
        <v>1207</v>
      </c>
    </row>
    <row r="2" spans="1:15" ht="20.25">
      <c r="B2" s="3255" t="s">
        <v>2044</v>
      </c>
      <c r="C2" s="3256"/>
      <c r="D2" s="3256"/>
      <c r="E2" s="3732"/>
      <c r="F2" s="3732"/>
      <c r="G2" s="4238"/>
      <c r="H2" s="4239"/>
      <c r="J2" s="2285"/>
      <c r="K2" s="1477" t="s">
        <v>1147</v>
      </c>
    </row>
    <row r="3" spans="1:15" ht="15.75">
      <c r="B3" s="3257"/>
      <c r="C3" s="3258"/>
      <c r="D3" s="3258"/>
      <c r="E3" s="3733" t="s">
        <v>22</v>
      </c>
      <c r="F3" s="3734" t="s">
        <v>894</v>
      </c>
      <c r="G3" s="4240" t="s">
        <v>893</v>
      </c>
      <c r="H3" s="4241"/>
      <c r="J3" s="2286"/>
      <c r="K3" s="1477" t="s">
        <v>1192</v>
      </c>
    </row>
    <row r="4" spans="1:15" ht="5.0999999999999996" customHeight="1">
      <c r="B4" s="3257"/>
      <c r="C4" s="3258"/>
      <c r="D4" s="3258"/>
      <c r="E4" s="3735"/>
      <c r="F4" s="3736"/>
      <c r="G4" s="3736"/>
      <c r="H4" s="3737"/>
      <c r="J4" s="2877"/>
      <c r="K4" s="1477"/>
    </row>
    <row r="5" spans="1:15" ht="15.75">
      <c r="B5" s="3257"/>
      <c r="C5" s="3258"/>
      <c r="D5" s="3258"/>
      <c r="E5" s="3738" t="s">
        <v>819</v>
      </c>
      <c r="F5" s="3739"/>
      <c r="G5" s="3739"/>
      <c r="H5" s="3740"/>
      <c r="J5" s="1476"/>
      <c r="K5" s="1477" t="s">
        <v>1193</v>
      </c>
    </row>
    <row r="6" spans="1:15" ht="15.75">
      <c r="B6" s="3257"/>
      <c r="C6" s="3258"/>
      <c r="D6" s="3258"/>
      <c r="E6" s="3741" t="s">
        <v>895</v>
      </c>
      <c r="F6" s="3736"/>
      <c r="G6" s="3736"/>
      <c r="H6" s="3737"/>
      <c r="J6" s="2877"/>
      <c r="K6" s="1477"/>
    </row>
    <row r="7" spans="1:15" ht="15.75">
      <c r="B7" s="3257"/>
      <c r="C7" s="3258"/>
      <c r="D7" s="3258"/>
      <c r="E7" s="3742"/>
      <c r="F7" s="3736"/>
      <c r="G7" s="3736"/>
      <c r="H7" s="3737"/>
      <c r="J7" s="2877"/>
      <c r="K7" s="1477"/>
    </row>
    <row r="8" spans="1:15" ht="15.75">
      <c r="B8" s="3257"/>
      <c r="C8" s="3258"/>
      <c r="D8" s="3258"/>
      <c r="E8" s="3742"/>
      <c r="F8" s="3736"/>
      <c r="G8" s="3736"/>
      <c r="H8" s="3737"/>
      <c r="J8" s="3979"/>
      <c r="K8" s="3981"/>
      <c r="L8" s="3980"/>
      <c r="M8" s="3980"/>
      <c r="N8" s="3980"/>
      <c r="O8" s="3980"/>
    </row>
    <row r="9" spans="1:15" ht="15.75">
      <c r="B9" s="3257"/>
      <c r="C9" s="3258"/>
      <c r="D9" s="3258"/>
      <c r="E9" s="3742"/>
      <c r="F9" s="3736"/>
      <c r="G9" s="3736"/>
      <c r="H9" s="3737"/>
      <c r="J9" s="3979"/>
      <c r="K9" s="3981"/>
      <c r="L9" s="3980"/>
      <c r="M9" s="3980"/>
      <c r="N9" s="3980"/>
      <c r="O9" s="3980"/>
    </row>
    <row r="10" spans="1:15" ht="15.75">
      <c r="B10" s="3257"/>
      <c r="C10" s="3258"/>
      <c r="D10" s="3258"/>
      <c r="E10" s="3743"/>
      <c r="F10" s="3744"/>
      <c r="G10" s="3744"/>
      <c r="H10" s="3745"/>
      <c r="J10" s="3979"/>
      <c r="K10" s="3981"/>
      <c r="L10" s="3980"/>
      <c r="M10" s="3980"/>
      <c r="N10" s="3980"/>
      <c r="O10" s="3980"/>
    </row>
    <row r="11" spans="1:15" ht="15.75">
      <c r="B11" s="3260"/>
      <c r="C11" s="3258"/>
      <c r="D11" s="3258"/>
      <c r="E11" s="3261"/>
      <c r="F11" s="3258"/>
      <c r="G11" s="3258"/>
      <c r="H11" s="3259"/>
      <c r="J11" s="3980"/>
      <c r="K11" s="3980"/>
      <c r="L11" s="3980"/>
      <c r="M11" s="3980"/>
      <c r="N11" s="3980"/>
      <c r="O11" s="3980"/>
    </row>
    <row r="12" spans="1:15" ht="15.75">
      <c r="B12" s="3260"/>
      <c r="C12" s="3262" t="s">
        <v>1961</v>
      </c>
      <c r="D12" s="3263"/>
      <c r="E12" s="3264" t="s">
        <v>1960</v>
      </c>
      <c r="F12" s="3265"/>
      <c r="G12" s="3265"/>
      <c r="H12" s="3266"/>
      <c r="J12" s="3979"/>
      <c r="K12" s="3982"/>
      <c r="L12" s="3980"/>
      <c r="M12" s="3980"/>
      <c r="N12" s="3980"/>
      <c r="O12" s="3980"/>
    </row>
    <row r="13" spans="1:15" ht="15.75">
      <c r="B13" s="3267"/>
      <c r="C13" s="3414">
        <f>'Copy &amp; Paste'!H11</f>
        <v>0</v>
      </c>
      <c r="D13" s="3258"/>
      <c r="E13" s="4235">
        <f>'Copy &amp; Paste'!B5</f>
        <v>0</v>
      </c>
      <c r="F13" s="4236"/>
      <c r="G13" s="4236"/>
      <c r="H13" s="4237"/>
      <c r="J13" s="3979"/>
      <c r="K13" s="3982"/>
      <c r="L13" s="3980"/>
      <c r="M13" s="3980"/>
      <c r="N13" s="3980"/>
      <c r="O13" s="3980"/>
    </row>
    <row r="14" spans="1:15" s="3397" customFormat="1" ht="15.75">
      <c r="B14" s="3746"/>
      <c r="C14" s="3747"/>
      <c r="D14" s="3748"/>
      <c r="E14" s="3749"/>
      <c r="F14" s="3749"/>
      <c r="G14" s="3749"/>
      <c r="H14" s="3750"/>
      <c r="J14" s="3979"/>
      <c r="K14" s="3982"/>
      <c r="L14" s="3980"/>
      <c r="M14" s="3980"/>
      <c r="N14" s="3980"/>
      <c r="O14" s="3980"/>
    </row>
    <row r="15" spans="1:15" s="3397" customFormat="1" ht="16.5" hidden="1" outlineLevel="1" thickBot="1">
      <c r="B15" s="3751" t="s">
        <v>2317</v>
      </c>
      <c r="C15" s="3752"/>
      <c r="D15" s="3752"/>
      <c r="E15" s="3752"/>
      <c r="F15" s="3752"/>
      <c r="G15" s="3752"/>
      <c r="H15" s="3753"/>
    </row>
    <row r="16" spans="1:15" s="3397" customFormat="1" ht="15.75" hidden="1" outlineLevel="1" thickBot="1">
      <c r="B16" s="3754"/>
      <c r="C16" s="3755"/>
      <c r="D16" s="3755"/>
      <c r="E16" s="3755"/>
      <c r="F16" s="3755"/>
      <c r="G16" s="3755"/>
      <c r="H16" s="3756"/>
    </row>
    <row r="17" spans="2:8" s="3397" customFormat="1" ht="16.5" hidden="1" outlineLevel="1" thickBot="1">
      <c r="B17" s="3757" t="s">
        <v>2045</v>
      </c>
      <c r="C17" s="3758" t="s">
        <v>2318</v>
      </c>
      <c r="D17" s="3758"/>
      <c r="E17" s="3758"/>
      <c r="F17" s="3758"/>
      <c r="G17" s="3758"/>
      <c r="H17" s="3759"/>
    </row>
    <row r="18" spans="2:8" s="3397" customFormat="1" ht="15.75" hidden="1" outlineLevel="1">
      <c r="B18" s="3760"/>
      <c r="C18" s="3761"/>
      <c r="D18" s="3761"/>
      <c r="E18" s="3761"/>
      <c r="F18" s="3761"/>
      <c r="G18" s="3761"/>
      <c r="H18" s="3762"/>
    </row>
    <row r="19" spans="2:8" s="3397" customFormat="1" ht="15.75" hidden="1" outlineLevel="1">
      <c r="B19" s="3760"/>
      <c r="C19" s="3736" t="s">
        <v>2319</v>
      </c>
      <c r="D19" s="3763"/>
      <c r="E19" s="3761"/>
      <c r="F19" s="3736"/>
      <c r="G19" s="3761"/>
      <c r="H19" s="3762"/>
    </row>
    <row r="20" spans="2:8" s="3397" customFormat="1" ht="15.75" hidden="1" outlineLevel="1">
      <c r="B20" s="3760"/>
      <c r="C20" s="3736" t="s">
        <v>2320</v>
      </c>
      <c r="D20" s="3764"/>
      <c r="E20" s="3761"/>
      <c r="F20" s="3761"/>
      <c r="G20" s="3761"/>
      <c r="H20" s="3762"/>
    </row>
    <row r="21" spans="2:8" s="3397" customFormat="1" ht="15.75" hidden="1" outlineLevel="1">
      <c r="B21" s="3760"/>
      <c r="C21" s="3736"/>
      <c r="D21" s="3765"/>
      <c r="E21" s="3761"/>
      <c r="F21" s="3761"/>
      <c r="G21" s="3761"/>
      <c r="H21" s="3762"/>
    </row>
    <row r="22" spans="2:8" s="3397" customFormat="1" ht="15.75" hidden="1" outlineLevel="1">
      <c r="B22" s="3760"/>
      <c r="C22" s="3736" t="s">
        <v>2321</v>
      </c>
      <c r="D22" s="3766"/>
      <c r="E22" s="3761"/>
      <c r="F22" s="3761"/>
      <c r="G22" s="3761"/>
      <c r="H22" s="3762"/>
    </row>
    <row r="23" spans="2:8" s="3397" customFormat="1" ht="15" hidden="1" outlineLevel="1">
      <c r="B23" s="3767"/>
      <c r="C23" s="3736"/>
      <c r="D23" s="3736"/>
      <c r="E23" s="3736"/>
      <c r="F23" s="3736"/>
      <c r="G23" s="3736"/>
      <c r="H23" s="3737"/>
    </row>
    <row r="24" spans="2:8" s="3397" customFormat="1" ht="15" hidden="1" outlineLevel="1">
      <c r="B24" s="3767"/>
      <c r="C24" s="3736" t="s">
        <v>1</v>
      </c>
      <c r="D24" s="3768"/>
      <c r="E24" s="3736"/>
      <c r="F24" s="3736"/>
      <c r="G24" s="3736"/>
      <c r="H24" s="3737"/>
    </row>
    <row r="25" spans="2:8" s="3397" customFormat="1" ht="15" hidden="1" outlineLevel="1">
      <c r="B25" s="3767"/>
      <c r="C25" s="3736" t="s">
        <v>2</v>
      </c>
      <c r="D25" s="3768"/>
      <c r="E25" s="3736"/>
      <c r="F25" s="3736"/>
      <c r="G25" s="3736"/>
      <c r="H25" s="3737"/>
    </row>
    <row r="26" spans="2:8" s="3397" customFormat="1" ht="15" hidden="1" outlineLevel="1">
      <c r="B26" s="3767"/>
      <c r="C26" s="3736" t="s">
        <v>3</v>
      </c>
      <c r="D26" s="3768"/>
      <c r="E26" s="3736"/>
      <c r="F26" s="3736"/>
      <c r="G26" s="3736"/>
      <c r="H26" s="3737"/>
    </row>
    <row r="27" spans="2:8" s="3397" customFormat="1" ht="15" hidden="1" outlineLevel="1">
      <c r="B27" s="3767"/>
      <c r="C27" s="3736" t="s">
        <v>4</v>
      </c>
      <c r="D27" s="3768"/>
      <c r="E27" s="3736"/>
      <c r="F27" s="3736"/>
      <c r="G27" s="3736"/>
      <c r="H27" s="3737"/>
    </row>
    <row r="28" spans="2:8" s="3397" customFormat="1" ht="15" hidden="1" outlineLevel="1">
      <c r="B28" s="3767"/>
      <c r="C28" s="3736" t="s">
        <v>5</v>
      </c>
      <c r="D28" s="3768"/>
      <c r="E28" s="3736"/>
      <c r="F28" s="3736"/>
      <c r="G28" s="3736"/>
      <c r="H28" s="3737"/>
    </row>
    <row r="29" spans="2:8" s="3397" customFormat="1" ht="15.75" hidden="1" outlineLevel="1" thickBot="1">
      <c r="B29" s="3767"/>
      <c r="C29" s="3769" t="s">
        <v>1954</v>
      </c>
      <c r="D29" s="3770">
        <f>SUM(D24:D28)</f>
        <v>0</v>
      </c>
      <c r="E29" s="3736"/>
      <c r="F29" s="3736"/>
      <c r="G29" s="3736"/>
      <c r="H29" s="3737"/>
    </row>
    <row r="30" spans="2:8" s="3397" customFormat="1" ht="15.75" hidden="1" outlineLevel="1" thickTop="1">
      <c r="B30" s="3767"/>
      <c r="C30" s="3736" t="s">
        <v>241</v>
      </c>
      <c r="D30" s="3771">
        <f>C13</f>
        <v>0</v>
      </c>
      <c r="E30" s="3736"/>
      <c r="F30" s="3736"/>
      <c r="G30" s="3736"/>
      <c r="H30" s="3737"/>
    </row>
    <row r="31" spans="2:8" s="3397" customFormat="1" ht="15" hidden="1" outlineLevel="1">
      <c r="B31" s="3767"/>
      <c r="C31" s="3769" t="s">
        <v>1953</v>
      </c>
      <c r="D31" s="3281" t="e">
        <f>+D29/D30</f>
        <v>#DIV/0!</v>
      </c>
      <c r="E31" s="3736"/>
      <c r="F31" s="3736"/>
      <c r="G31" s="3736"/>
      <c r="H31" s="3737"/>
    </row>
    <row r="32" spans="2:8" s="3397" customFormat="1" ht="15.75" hidden="1" outlineLevel="1" thickBot="1">
      <c r="B32" s="3767"/>
      <c r="C32" s="3769"/>
      <c r="D32" s="3281"/>
      <c r="E32" s="3736"/>
      <c r="F32" s="3736"/>
      <c r="G32" s="3736"/>
      <c r="H32" s="3737"/>
    </row>
    <row r="33" spans="2:10" s="3397" customFormat="1" ht="16.5" hidden="1" outlineLevel="1" thickBot="1">
      <c r="B33" s="3757" t="s">
        <v>2047</v>
      </c>
      <c r="C33" s="3758" t="s">
        <v>2048</v>
      </c>
      <c r="D33" s="3758"/>
      <c r="E33" s="3758"/>
      <c r="F33" s="3758"/>
      <c r="G33" s="3758"/>
      <c r="H33" s="3759"/>
    </row>
    <row r="34" spans="2:10" s="3397" customFormat="1" ht="15" hidden="1" outlineLevel="1">
      <c r="B34" s="3754"/>
      <c r="C34" s="3755"/>
      <c r="D34" s="3755"/>
      <c r="E34" s="3755"/>
      <c r="F34" s="3755"/>
      <c r="G34" s="3755"/>
      <c r="H34" s="3756"/>
    </row>
    <row r="35" spans="2:10" s="3397" customFormat="1" ht="15" hidden="1" outlineLevel="1">
      <c r="B35" s="3754"/>
      <c r="C35" s="3736" t="s">
        <v>2322</v>
      </c>
      <c r="D35" s="3772"/>
      <c r="E35" s="3416"/>
      <c r="F35" s="3772"/>
      <c r="G35" s="3755"/>
      <c r="H35" s="3756"/>
    </row>
    <row r="36" spans="2:10" s="3397" customFormat="1" ht="15" hidden="1" outlineLevel="1">
      <c r="B36" s="3754"/>
      <c r="C36" s="3736" t="s">
        <v>2323</v>
      </c>
      <c r="D36" s="3772"/>
      <c r="E36" s="3416"/>
      <c r="F36" s="3772"/>
      <c r="G36" s="3755"/>
      <c r="H36" s="3756"/>
    </row>
    <row r="37" spans="2:10" s="3397" customFormat="1" ht="15" hidden="1" outlineLevel="1">
      <c r="B37" s="3754"/>
      <c r="C37" s="3736" t="s">
        <v>2324</v>
      </c>
      <c r="D37" s="3772"/>
      <c r="E37" s="3416"/>
      <c r="F37" s="3772"/>
      <c r="G37" s="3755"/>
      <c r="H37" s="3756"/>
    </row>
    <row r="38" spans="2:10" s="3397" customFormat="1" ht="15.75" hidden="1" outlineLevel="1" thickBot="1">
      <c r="B38" s="3754"/>
      <c r="C38" s="3755"/>
      <c r="D38" s="3755"/>
      <c r="E38" s="3283">
        <f>SUM(E35:E37)</f>
        <v>0</v>
      </c>
      <c r="F38" s="3755"/>
      <c r="G38" s="3755"/>
      <c r="H38" s="3756"/>
    </row>
    <row r="39" spans="2:10" s="3397" customFormat="1" ht="15.75" hidden="1" outlineLevel="1" thickTop="1">
      <c r="B39" s="3754"/>
      <c r="C39" s="3755"/>
      <c r="D39" s="3755"/>
      <c r="E39" s="3773"/>
      <c r="F39" s="3755"/>
      <c r="G39" s="3755"/>
      <c r="H39" s="3756"/>
    </row>
    <row r="40" spans="2:10" s="3397" customFormat="1" ht="15.75" hidden="1" outlineLevel="1">
      <c r="B40" s="3754"/>
      <c r="C40" s="3761" t="s">
        <v>2054</v>
      </c>
      <c r="D40" s="3736"/>
      <c r="E40" s="3773"/>
      <c r="F40" s="3755"/>
      <c r="G40" s="3755"/>
      <c r="H40" s="3756"/>
    </row>
    <row r="41" spans="2:10" s="3397" customFormat="1" ht="15" hidden="1" outlineLevel="1">
      <c r="B41" s="3754"/>
      <c r="C41" s="3736"/>
      <c r="D41" s="3736"/>
      <c r="E41" s="3773"/>
      <c r="F41" s="3755"/>
      <c r="G41" s="3755"/>
      <c r="H41" s="3756"/>
    </row>
    <row r="42" spans="2:10" ht="15" hidden="1" outlineLevel="1">
      <c r="B42" s="3754"/>
      <c r="C42" s="3736" t="s">
        <v>2055</v>
      </c>
      <c r="D42" s="3772"/>
      <c r="E42" s="3416"/>
      <c r="F42" s="3755"/>
      <c r="G42" s="3755"/>
      <c r="H42" s="3756"/>
      <c r="J42" s="3397"/>
    </row>
    <row r="43" spans="2:10" ht="15.75" collapsed="1" thickBot="1">
      <c r="B43" s="3269"/>
      <c r="C43" s="3263"/>
      <c r="D43" s="3263"/>
      <c r="E43" s="3263"/>
      <c r="F43" s="3263"/>
      <c r="G43" s="3263"/>
      <c r="H43" s="3268"/>
    </row>
    <row r="44" spans="2:10" ht="16.5" outlineLevel="1" thickBot="1">
      <c r="B44" s="3270" t="s">
        <v>2316</v>
      </c>
      <c r="C44" s="3271"/>
      <c r="D44" s="3271"/>
      <c r="E44" s="3271"/>
      <c r="F44" s="3271"/>
      <c r="G44" s="3271"/>
      <c r="H44" s="3272"/>
    </row>
    <row r="45" spans="2:10" ht="16.5" outlineLevel="1" thickBot="1">
      <c r="B45" s="3273"/>
      <c r="C45" s="3274"/>
      <c r="D45" s="3274"/>
      <c r="E45" s="3274"/>
      <c r="F45" s="3274"/>
      <c r="G45" s="3274"/>
      <c r="H45" s="3275"/>
    </row>
    <row r="46" spans="2:10" ht="16.5" outlineLevel="1" thickBot="1">
      <c r="B46" s="3276" t="s">
        <v>2045</v>
      </c>
      <c r="C46" s="3277" t="s">
        <v>2046</v>
      </c>
      <c r="D46" s="3277"/>
      <c r="E46" s="3277"/>
      <c r="F46" s="3277"/>
      <c r="G46" s="3277"/>
      <c r="H46" s="3278"/>
    </row>
    <row r="47" spans="2:10" ht="15" outlineLevel="1">
      <c r="B47" s="3279"/>
      <c r="C47" s="3263"/>
      <c r="D47" s="3263"/>
      <c r="E47" s="3263"/>
      <c r="F47" s="3263"/>
      <c r="G47" s="3263"/>
      <c r="H47" s="3268"/>
    </row>
    <row r="48" spans="2:10" ht="15" outlineLevel="1">
      <c r="B48" s="3279"/>
      <c r="C48" s="3263" t="s">
        <v>1</v>
      </c>
      <c r="D48" s="3415"/>
      <c r="E48" s="3263"/>
      <c r="F48" s="3263"/>
      <c r="G48" s="3263"/>
      <c r="H48" s="3268"/>
      <c r="J48" s="3402"/>
    </row>
    <row r="49" spans="2:11" ht="15" outlineLevel="1">
      <c r="B49" s="3279"/>
      <c r="C49" s="3263" t="s">
        <v>2</v>
      </c>
      <c r="D49" s="3415"/>
      <c r="E49" s="3263"/>
      <c r="F49" s="3263"/>
      <c r="G49" s="3263"/>
      <c r="H49" s="3268"/>
    </row>
    <row r="50" spans="2:11" ht="15" outlineLevel="1">
      <c r="B50" s="3279"/>
      <c r="C50" s="3263" t="s">
        <v>3</v>
      </c>
      <c r="D50" s="3415"/>
      <c r="E50" s="3263"/>
      <c r="F50" s="3263"/>
      <c r="G50" s="3263"/>
      <c r="H50" s="3268"/>
    </row>
    <row r="51" spans="2:11" ht="15" outlineLevel="1">
      <c r="B51" s="3279"/>
      <c r="C51" s="3263" t="s">
        <v>4</v>
      </c>
      <c r="D51" s="3415"/>
      <c r="E51" s="3263"/>
      <c r="F51" s="3263"/>
      <c r="G51" s="3263"/>
      <c r="H51" s="3268"/>
    </row>
    <row r="52" spans="2:11" ht="15" outlineLevel="1">
      <c r="B52" s="3279"/>
      <c r="C52" s="3263" t="s">
        <v>5</v>
      </c>
      <c r="D52" s="3415"/>
      <c r="E52" s="3263"/>
      <c r="F52" s="3263"/>
      <c r="G52" s="3263"/>
      <c r="H52" s="3268"/>
    </row>
    <row r="53" spans="2:11" ht="15.75" outlineLevel="1" thickBot="1">
      <c r="B53" s="3279"/>
      <c r="C53" s="3280" t="s">
        <v>1954</v>
      </c>
      <c r="D53" s="3409">
        <f>SUM(D48:D52)</f>
        <v>0</v>
      </c>
      <c r="E53" s="3263"/>
      <c r="F53" s="3263"/>
      <c r="G53" s="3263"/>
      <c r="H53" s="3268"/>
    </row>
    <row r="54" spans="2:11" ht="15.75" outlineLevel="1" thickTop="1">
      <c r="B54" s="3279"/>
      <c r="C54" s="3263" t="s">
        <v>241</v>
      </c>
      <c r="D54" s="3410">
        <f>C13</f>
        <v>0</v>
      </c>
      <c r="E54" s="3263"/>
      <c r="F54" s="3263"/>
      <c r="G54" s="3263"/>
      <c r="H54" s="3268"/>
    </row>
    <row r="55" spans="2:11" ht="15" outlineLevel="1">
      <c r="B55" s="3279"/>
      <c r="C55" s="3280" t="s">
        <v>1953</v>
      </c>
      <c r="D55" s="3281" t="e">
        <f>+D53/D54</f>
        <v>#DIV/0!</v>
      </c>
      <c r="E55" s="3263"/>
      <c r="F55" s="3263"/>
      <c r="G55" s="3263"/>
      <c r="H55" s="3268"/>
    </row>
    <row r="56" spans="2:11" ht="15.75" outlineLevel="1" thickBot="1">
      <c r="B56" s="3279"/>
      <c r="C56" s="3280"/>
      <c r="D56" s="3281"/>
      <c r="E56" s="3263"/>
      <c r="F56" s="3263"/>
      <c r="G56" s="3263"/>
      <c r="H56" s="3268"/>
    </row>
    <row r="57" spans="2:11" ht="16.5" outlineLevel="1" thickBot="1">
      <c r="B57" s="3276" t="s">
        <v>2047</v>
      </c>
      <c r="C57" s="3277" t="s">
        <v>2048</v>
      </c>
      <c r="D57" s="3277"/>
      <c r="E57" s="3277"/>
      <c r="F57" s="3277"/>
      <c r="G57" s="3277"/>
      <c r="H57" s="3278"/>
    </row>
    <row r="58" spans="2:11" ht="15" outlineLevel="1">
      <c r="B58" s="3389"/>
      <c r="C58" s="3390"/>
      <c r="D58" s="3390"/>
      <c r="E58" s="3390"/>
      <c r="F58" s="3390"/>
      <c r="G58" s="3390"/>
      <c r="H58" s="3391"/>
    </row>
    <row r="59" spans="2:11" ht="15" outlineLevel="1">
      <c r="B59" s="3282"/>
      <c r="C59" s="3388" t="s">
        <v>1950</v>
      </c>
      <c r="D59" s="3416"/>
      <c r="E59" s="3388"/>
      <c r="F59" s="3388"/>
      <c r="G59" s="3388"/>
      <c r="H59" s="3268"/>
      <c r="J59" s="3402"/>
    </row>
    <row r="60" spans="2:11" ht="15" outlineLevel="1">
      <c r="B60" s="3282"/>
      <c r="C60" s="3388" t="s">
        <v>2049</v>
      </c>
      <c r="D60" s="3416"/>
      <c r="E60" s="3388"/>
      <c r="F60" s="3388"/>
      <c r="G60" s="3388"/>
      <c r="H60" s="3268"/>
    </row>
    <row r="61" spans="2:11" ht="15" outlineLevel="1">
      <c r="B61" s="3282"/>
      <c r="C61" s="3392" t="s">
        <v>2086</v>
      </c>
      <c r="D61" s="3416"/>
      <c r="E61" s="3388"/>
      <c r="F61" s="3388"/>
      <c r="G61" s="3388"/>
      <c r="H61" s="3268"/>
    </row>
    <row r="62" spans="2:11" ht="15" outlineLevel="1">
      <c r="B62" s="3282"/>
      <c r="C62" s="3392" t="s">
        <v>2050</v>
      </c>
      <c r="D62" s="3416"/>
      <c r="E62" s="3388"/>
      <c r="F62" s="3388"/>
      <c r="G62" s="3388"/>
      <c r="H62" s="3268"/>
      <c r="J62" s="3396"/>
      <c r="K62" s="3397"/>
    </row>
    <row r="63" spans="2:11" ht="30" outlineLevel="1">
      <c r="B63" s="3282"/>
      <c r="C63" s="3392" t="s">
        <v>2082</v>
      </c>
      <c r="D63" s="3416"/>
      <c r="E63" s="3388"/>
      <c r="F63" s="3388"/>
      <c r="G63" s="3388"/>
      <c r="H63" s="3268"/>
      <c r="J63" s="3397"/>
      <c r="K63" s="3397"/>
    </row>
    <row r="64" spans="2:11" ht="30" outlineLevel="1">
      <c r="B64" s="3282"/>
      <c r="C64" s="3392" t="s">
        <v>2083</v>
      </c>
      <c r="D64" s="3416"/>
      <c r="E64" s="3388"/>
      <c r="F64" s="3388"/>
      <c r="G64" s="3388"/>
      <c r="H64" s="3268"/>
      <c r="J64" s="3397"/>
      <c r="K64" s="3397"/>
    </row>
    <row r="65" spans="2:17" ht="15" outlineLevel="1">
      <c r="B65" s="3282"/>
      <c r="C65" s="3388" t="s">
        <v>2051</v>
      </c>
      <c r="D65" s="3416"/>
      <c r="E65" s="3388"/>
      <c r="F65" s="3388"/>
      <c r="G65" s="3388"/>
      <c r="H65" s="3268"/>
    </row>
    <row r="66" spans="2:17" ht="15" outlineLevel="1">
      <c r="B66" s="3282"/>
      <c r="C66" s="3388" t="s">
        <v>2052</v>
      </c>
      <c r="D66" s="3416"/>
      <c r="E66" s="3388"/>
      <c r="F66" s="3388"/>
      <c r="G66" s="3388"/>
      <c r="H66" s="3268"/>
    </row>
    <row r="67" spans="2:17" ht="15.75" outlineLevel="1" thickBot="1">
      <c r="B67" s="3282"/>
      <c r="C67" s="3388"/>
      <c r="D67" s="3283">
        <f>SUM(D59:D66)</f>
        <v>0</v>
      </c>
      <c r="E67" s="3393"/>
      <c r="F67" s="3394"/>
      <c r="G67" s="3388"/>
      <c r="H67" s="3268"/>
    </row>
    <row r="68" spans="2:17" ht="15.75" outlineLevel="1" thickTop="1">
      <c r="B68" s="3279"/>
      <c r="C68" s="3388"/>
      <c r="D68" s="3388"/>
      <c r="E68" s="3388"/>
      <c r="F68" s="3388"/>
      <c r="G68" s="3388"/>
      <c r="H68" s="3268"/>
    </row>
    <row r="69" spans="2:17" ht="15.75" outlineLevel="1">
      <c r="B69" s="3260"/>
      <c r="C69" s="3387" t="s">
        <v>2054</v>
      </c>
      <c r="D69" s="3388"/>
      <c r="E69" s="3388"/>
      <c r="F69" s="3388"/>
      <c r="G69" s="3388"/>
      <c r="H69" s="3268"/>
    </row>
    <row r="70" spans="2:17" ht="15" outlineLevel="1">
      <c r="B70" s="3279"/>
      <c r="C70" s="3388"/>
      <c r="D70" s="3388"/>
      <c r="E70" s="3388"/>
      <c r="F70" s="3385"/>
      <c r="G70" s="3395"/>
      <c r="H70" s="3285"/>
    </row>
    <row r="71" spans="2:17" ht="15" outlineLevel="1">
      <c r="B71" s="3286"/>
      <c r="C71" s="3388" t="s">
        <v>2055</v>
      </c>
      <c r="D71" s="3416"/>
      <c r="E71" s="3388"/>
      <c r="F71" s="3385"/>
      <c r="G71" s="3395"/>
      <c r="H71" s="3287"/>
    </row>
    <row r="72" spans="2:17" ht="15.75" outlineLevel="1" thickBot="1">
      <c r="B72" s="3289"/>
      <c r="C72" s="3290"/>
      <c r="D72" s="3290"/>
      <c r="E72" s="3290"/>
      <c r="F72" s="3290"/>
      <c r="G72" s="3290"/>
      <c r="H72" s="3291"/>
    </row>
    <row r="73" spans="2:17" ht="16.5" outlineLevel="1" thickBot="1">
      <c r="B73" s="3292" t="s">
        <v>2053</v>
      </c>
      <c r="C73" s="3293" t="s">
        <v>2101</v>
      </c>
      <c r="D73" s="3294"/>
      <c r="E73" s="3295"/>
      <c r="F73" s="3294"/>
      <c r="G73" s="3294"/>
      <c r="H73" s="3418">
        <f>D67</f>
        <v>0</v>
      </c>
      <c r="J73" s="3396"/>
      <c r="K73" s="3397"/>
      <c r="L73" s="3397"/>
      <c r="M73" s="3397"/>
      <c r="N73" s="3397"/>
      <c r="O73" s="3397"/>
      <c r="P73" s="3397"/>
      <c r="Q73" s="3397"/>
    </row>
    <row r="74" spans="2:17" ht="15.75" outlineLevel="1" thickBot="1">
      <c r="B74" s="3289"/>
      <c r="C74" s="3290"/>
      <c r="D74" s="3290"/>
      <c r="E74" s="3290"/>
      <c r="F74" s="3290"/>
      <c r="G74" s="3290"/>
      <c r="H74" s="3291"/>
      <c r="J74" s="3396"/>
      <c r="K74" s="3397"/>
      <c r="L74" s="3397"/>
    </row>
    <row r="75" spans="2:17" ht="16.5" outlineLevel="1" thickBot="1">
      <c r="B75" s="3296" t="s">
        <v>2100</v>
      </c>
      <c r="C75" s="3277" t="s">
        <v>2057</v>
      </c>
      <c r="D75" s="3297"/>
      <c r="E75" s="3297"/>
      <c r="F75" s="3297"/>
      <c r="G75" s="3297"/>
      <c r="H75" s="3298"/>
    </row>
    <row r="76" spans="2:17" ht="15.75" outlineLevel="1">
      <c r="B76" s="3260"/>
      <c r="C76" s="3258"/>
      <c r="D76" s="3258"/>
      <c r="E76" s="3258"/>
      <c r="F76" s="3258"/>
      <c r="G76" s="3258"/>
      <c r="H76" s="3259"/>
    </row>
    <row r="77" spans="2:17" outlineLevel="1">
      <c r="B77" s="3425" t="s">
        <v>2058</v>
      </c>
      <c r="C77" s="3426" t="s">
        <v>2059</v>
      </c>
      <c r="D77" s="3426" t="s">
        <v>2060</v>
      </c>
      <c r="E77" s="3426" t="s">
        <v>2061</v>
      </c>
      <c r="F77" s="3426" t="s">
        <v>1444</v>
      </c>
      <c r="H77" s="3288"/>
    </row>
    <row r="78" spans="2:17" outlineLevel="1">
      <c r="B78" s="3299">
        <v>8.72E-2</v>
      </c>
      <c r="C78" s="3300">
        <v>0.1202</v>
      </c>
      <c r="D78" s="3300">
        <v>0.1449</v>
      </c>
      <c r="E78" s="3300">
        <v>0.16270000000000001</v>
      </c>
      <c r="F78" s="3300">
        <v>0.17580000000000001</v>
      </c>
      <c r="H78" s="3285" t="s">
        <v>2062</v>
      </c>
    </row>
    <row r="79" spans="2:17" outlineLevel="1">
      <c r="B79" s="3299">
        <v>5.6399999999999999E-2</v>
      </c>
      <c r="C79" s="3300">
        <v>6.7500000000000004E-2</v>
      </c>
      <c r="D79" s="3300">
        <v>0.1074</v>
      </c>
      <c r="E79" s="3300">
        <v>0.14130000000000001</v>
      </c>
      <c r="F79" s="3300">
        <v>0.11020000000000001</v>
      </c>
      <c r="H79" s="3285" t="s">
        <v>2063</v>
      </c>
    </row>
    <row r="80" spans="2:17" outlineLevel="1">
      <c r="B80" s="3299">
        <v>7.6999999999999999E-2</v>
      </c>
      <c r="C80" s="3300">
        <v>0.1037</v>
      </c>
      <c r="D80" s="3300">
        <v>0.15509999999999999</v>
      </c>
      <c r="E80" s="3300">
        <v>0.24629999999999999</v>
      </c>
      <c r="F80" s="3300">
        <v>0.38419999999999999</v>
      </c>
      <c r="H80" s="3285" t="s">
        <v>2064</v>
      </c>
    </row>
    <row r="81" spans="2:16" outlineLevel="1">
      <c r="B81" s="3301"/>
      <c r="H81" s="3288"/>
    </row>
    <row r="82" spans="2:16" outlineLevel="1">
      <c r="B82" s="3302">
        <f>+B78*D48</f>
        <v>0</v>
      </c>
      <c r="C82" s="3303">
        <f>+C78*D49</f>
        <v>0</v>
      </c>
      <c r="D82" s="3303">
        <f>+D78*D50</f>
        <v>0</v>
      </c>
      <c r="E82" s="3303">
        <f>+D51*E78</f>
        <v>0</v>
      </c>
      <c r="F82" s="3303">
        <f>+F78*D52</f>
        <v>0</v>
      </c>
      <c r="G82" s="3419">
        <f>+C82+B82+D82+E82+F82</f>
        <v>0</v>
      </c>
      <c r="H82" s="3288" t="s">
        <v>2065</v>
      </c>
    </row>
    <row r="83" spans="2:16" outlineLevel="1">
      <c r="B83" s="3302">
        <f>+B79*D48</f>
        <v>0</v>
      </c>
      <c r="C83" s="3303">
        <f>+C79*D49</f>
        <v>0</v>
      </c>
      <c r="D83" s="3303">
        <f>+D79*D50</f>
        <v>0</v>
      </c>
      <c r="E83" s="3303">
        <f>+D51*E79</f>
        <v>0</v>
      </c>
      <c r="F83" s="3303">
        <f>+F79*D52</f>
        <v>0</v>
      </c>
      <c r="G83" s="3419">
        <f>+B83+C83+D83+E83+F83</f>
        <v>0</v>
      </c>
      <c r="H83" s="3288" t="s">
        <v>2066</v>
      </c>
    </row>
    <row r="84" spans="2:16" ht="13.5" outlineLevel="1" thickBot="1">
      <c r="B84" s="3305">
        <f>+B80*D48</f>
        <v>0</v>
      </c>
      <c r="C84" s="3306">
        <f>+C80*D49</f>
        <v>0</v>
      </c>
      <c r="D84" s="3306">
        <f>+D80*D50</f>
        <v>0</v>
      </c>
      <c r="E84" s="3306">
        <f>+D51*E80</f>
        <v>0</v>
      </c>
      <c r="F84" s="3306">
        <f>+F80*D52</f>
        <v>0</v>
      </c>
      <c r="G84" s="3420">
        <f>+B84+C84+D84+E84+F84</f>
        <v>0</v>
      </c>
      <c r="H84" s="3288" t="s">
        <v>2067</v>
      </c>
    </row>
    <row r="85" spans="2:16" ht="13.5" outlineLevel="1" thickTop="1">
      <c r="B85" s="3307">
        <f>+D48*B78+D48*B79+D48*B80</f>
        <v>0</v>
      </c>
      <c r="C85" s="3308">
        <f>+D49*C78+D49*C79+D49*C80</f>
        <v>0</v>
      </c>
      <c r="D85" s="3308">
        <f>+D50*D78+D50*D79+D50*D80</f>
        <v>0</v>
      </c>
      <c r="E85" s="3308">
        <f>+D51*E78+D51*E79+D51*E80</f>
        <v>0</v>
      </c>
      <c r="F85" s="3308">
        <f>+D52*F78+D52*F79+D52*F80</f>
        <v>0</v>
      </c>
      <c r="G85" s="3421">
        <f>SUM(G82:G84)</f>
        <v>0</v>
      </c>
      <c r="H85" s="3309" t="s">
        <v>2068</v>
      </c>
    </row>
    <row r="86" spans="2:16" ht="20.100000000000001" customHeight="1" outlineLevel="1" thickBot="1">
      <c r="B86" s="3301"/>
      <c r="H86" s="3288"/>
    </row>
    <row r="87" spans="2:16" ht="16.5" outlineLevel="1" thickBot="1">
      <c r="B87" s="3310" t="s">
        <v>2056</v>
      </c>
      <c r="C87" s="3293" t="s">
        <v>2069</v>
      </c>
      <c r="D87" s="3293"/>
      <c r="E87" s="3293"/>
      <c r="F87" s="3293"/>
      <c r="G87" s="3293"/>
      <c r="H87" s="3417" t="e">
        <f>100/G85*H73%</f>
        <v>#DIV/0!</v>
      </c>
      <c r="J87" s="3396"/>
      <c r="K87" s="3397"/>
      <c r="L87" s="3397"/>
      <c r="M87" s="3397"/>
      <c r="N87" s="3397"/>
      <c r="O87" s="3397"/>
      <c r="P87" s="3397"/>
    </row>
    <row r="88" spans="2:16" outlineLevel="1">
      <c r="B88" s="3301"/>
      <c r="H88" s="3288"/>
    </row>
    <row r="89" spans="2:16" ht="15.75" thickBot="1">
      <c r="B89" s="3279"/>
      <c r="C89" s="3263"/>
      <c r="D89" s="3263"/>
      <c r="H89" s="3288"/>
    </row>
    <row r="90" spans="2:16" ht="16.5" thickBot="1">
      <c r="B90" s="3311" t="s">
        <v>2070</v>
      </c>
      <c r="C90" s="3271"/>
      <c r="D90" s="3271"/>
      <c r="E90" s="3312"/>
      <c r="F90" s="3312"/>
      <c r="G90" s="3312"/>
      <c r="H90" s="3313"/>
    </row>
    <row r="91" spans="2:16" ht="15.75" thickBot="1">
      <c r="B91" s="3279"/>
      <c r="C91" s="3263"/>
      <c r="D91" s="3263"/>
      <c r="H91" s="3288"/>
    </row>
    <row r="92" spans="2:16" ht="16.5" thickBot="1">
      <c r="B92" s="3276" t="s">
        <v>2071</v>
      </c>
      <c r="C92" s="3277" t="s">
        <v>2072</v>
      </c>
      <c r="D92" s="3284"/>
      <c r="E92" s="3294"/>
      <c r="F92" s="3294"/>
      <c r="G92" s="3294"/>
      <c r="H92" s="3314"/>
    </row>
    <row r="93" spans="2:16" ht="15.75" thickBot="1">
      <c r="B93" s="3279"/>
      <c r="C93" s="3263"/>
      <c r="D93" s="3263"/>
      <c r="H93" s="3288"/>
    </row>
    <row r="94" spans="2:16" ht="15.75" thickBot="1">
      <c r="B94" s="3315" t="s">
        <v>2073</v>
      </c>
      <c r="C94" s="3294"/>
      <c r="D94" s="3294"/>
      <c r="E94" s="3294"/>
      <c r="F94" s="3422" t="e">
        <f>H87</f>
        <v>#DIV/0!</v>
      </c>
      <c r="H94" s="3288"/>
      <c r="J94" s="3400"/>
    </row>
    <row r="95" spans="2:16" ht="15.75" thickBot="1">
      <c r="B95" s="3279"/>
      <c r="C95" s="3263"/>
      <c r="D95" s="3263"/>
      <c r="H95" s="3288"/>
    </row>
    <row r="96" spans="2:16" ht="15.75">
      <c r="B96" s="3317" t="s">
        <v>2074</v>
      </c>
      <c r="C96" s="3318" t="s">
        <v>2075</v>
      </c>
      <c r="D96" s="3319"/>
      <c r="E96" s="3318"/>
      <c r="F96" s="3318"/>
      <c r="G96" s="3318"/>
      <c r="H96" s="3320"/>
    </row>
    <row r="97" spans="2:8" ht="15.75">
      <c r="B97" s="3264"/>
      <c r="C97" s="3265"/>
      <c r="D97" s="3321"/>
      <c r="E97" s="3265"/>
      <c r="F97" s="3265"/>
      <c r="G97" s="3265"/>
      <c r="H97" s="3322"/>
    </row>
    <row r="98" spans="2:8" ht="15.75">
      <c r="B98" s="3424" t="s">
        <v>2058</v>
      </c>
      <c r="C98" s="3424" t="s">
        <v>2059</v>
      </c>
      <c r="D98" s="3424" t="s">
        <v>2060</v>
      </c>
      <c r="E98" s="3424" t="s">
        <v>2061</v>
      </c>
      <c r="F98" s="3424" t="s">
        <v>1444</v>
      </c>
      <c r="G98" s="3258"/>
      <c r="H98" s="3323"/>
    </row>
    <row r="99" spans="2:8" ht="15.75">
      <c r="B99" s="3300" t="e">
        <f>0.0872*$F$94</f>
        <v>#DIV/0!</v>
      </c>
      <c r="C99" s="3300" t="e">
        <f>0.1202*$F$94</f>
        <v>#DIV/0!</v>
      </c>
      <c r="D99" s="3300" t="e">
        <f>0.1449*$F$94</f>
        <v>#DIV/0!</v>
      </c>
      <c r="E99" s="3300" t="e">
        <f>0.1627*$F$94</f>
        <v>#DIV/0!</v>
      </c>
      <c r="F99" s="3300" t="e">
        <f>0.1758*$F$94</f>
        <v>#DIV/0!</v>
      </c>
      <c r="G99" s="3258"/>
      <c r="H99" s="3324" t="s">
        <v>2062</v>
      </c>
    </row>
    <row r="100" spans="2:8" ht="15.75">
      <c r="B100" s="3300" t="e">
        <f>0.0564*$F$94</f>
        <v>#DIV/0!</v>
      </c>
      <c r="C100" s="3300" t="e">
        <f>0.0675*$F$94</f>
        <v>#DIV/0!</v>
      </c>
      <c r="D100" s="3300" t="e">
        <f>0.1074*$F$94</f>
        <v>#DIV/0!</v>
      </c>
      <c r="E100" s="3300" t="e">
        <f>0.1413*$F$94</f>
        <v>#DIV/0!</v>
      </c>
      <c r="F100" s="3300" t="e">
        <f>0.1102*$F$94</f>
        <v>#DIV/0!</v>
      </c>
      <c r="G100" s="3258"/>
      <c r="H100" s="3324" t="s">
        <v>2063</v>
      </c>
    </row>
    <row r="101" spans="2:8">
      <c r="B101" s="3300" t="e">
        <f>0.077*$F$94</f>
        <v>#DIV/0!</v>
      </c>
      <c r="C101" s="3300" t="e">
        <f>0.1037*$F$94</f>
        <v>#DIV/0!</v>
      </c>
      <c r="D101" s="3300" t="e">
        <f>0.1551*$F$94</f>
        <v>#DIV/0!</v>
      </c>
      <c r="E101" s="3300" t="e">
        <f>0.2463*$F$94</f>
        <v>#DIV/0!</v>
      </c>
      <c r="F101" s="3300" t="e">
        <f>0.3842*$F$94</f>
        <v>#DIV/0!</v>
      </c>
      <c r="H101" s="3324" t="s">
        <v>2064</v>
      </c>
    </row>
    <row r="102" spans="2:8">
      <c r="B102" s="3325"/>
      <c r="H102" s="3326"/>
    </row>
    <row r="103" spans="2:8" ht="15.75">
      <c r="B103" s="3327" t="s">
        <v>2076</v>
      </c>
      <c r="H103" s="3326"/>
    </row>
    <row r="104" spans="2:8" ht="13.5" thickBot="1">
      <c r="B104" s="3325"/>
      <c r="H104" s="3326"/>
    </row>
    <row r="105" spans="2:8" ht="15">
      <c r="B105" s="3328" t="s">
        <v>811</v>
      </c>
      <c r="C105" s="3328" t="s">
        <v>812</v>
      </c>
      <c r="D105" s="3329" t="s">
        <v>813</v>
      </c>
      <c r="E105" s="3328" t="s">
        <v>814</v>
      </c>
      <c r="F105" s="3330" t="s">
        <v>815</v>
      </c>
      <c r="H105" s="3326"/>
    </row>
    <row r="106" spans="2:8" ht="15.75" thickBot="1">
      <c r="B106" s="3331" t="e">
        <f>Ergebnis!B6</f>
        <v>#VALUE!</v>
      </c>
      <c r="C106" s="3331" t="e">
        <f>Ergebnis!C6</f>
        <v>#VALUE!</v>
      </c>
      <c r="D106" s="3332" t="e">
        <f>Ergebnis!D6</f>
        <v>#VALUE!</v>
      </c>
      <c r="E106" s="3331" t="e">
        <f>Ergebnis!E6</f>
        <v>#VALUE!</v>
      </c>
      <c r="F106" s="3333" t="e">
        <f>Ergebnis!F6</f>
        <v>#VALUE!</v>
      </c>
      <c r="H106" s="3326"/>
    </row>
    <row r="107" spans="2:8" ht="15">
      <c r="B107" s="3334"/>
      <c r="C107" s="3335"/>
      <c r="D107" s="3336"/>
      <c r="E107" s="3335"/>
      <c r="F107" s="3335"/>
      <c r="H107" s="3326"/>
    </row>
    <row r="108" spans="2:8" ht="15">
      <c r="B108" s="3403" t="s">
        <v>2077</v>
      </c>
      <c r="C108" s="3335"/>
      <c r="D108" s="3335"/>
      <c r="E108" s="3335"/>
      <c r="F108" s="3335"/>
      <c r="G108" s="14"/>
      <c r="H108" s="3324"/>
    </row>
    <row r="109" spans="2:8">
      <c r="B109" s="3424" t="s">
        <v>2058</v>
      </c>
      <c r="C109" s="3424" t="s">
        <v>2059</v>
      </c>
      <c r="D109" s="3424" t="s">
        <v>2060</v>
      </c>
      <c r="E109" s="3424" t="s">
        <v>2061</v>
      </c>
      <c r="F109" s="3424" t="s">
        <v>1444</v>
      </c>
      <c r="G109" s="14"/>
      <c r="H109" s="3324"/>
    </row>
    <row r="110" spans="2:8">
      <c r="B110" s="3404" t="e">
        <f>+B99*B106</f>
        <v>#DIV/0!</v>
      </c>
      <c r="C110" s="3404" t="e">
        <f>+C99*C106</f>
        <v>#DIV/0!</v>
      </c>
      <c r="D110" s="3404" t="e">
        <f>+D99*D106</f>
        <v>#DIV/0!</v>
      </c>
      <c r="E110" s="3404" t="e">
        <f>+E106*E99</f>
        <v>#VALUE!</v>
      </c>
      <c r="F110" s="3404" t="e">
        <f>+F99*F106</f>
        <v>#DIV/0!</v>
      </c>
      <c r="G110" s="3419" t="e">
        <f>+B110+C110+D110+E110+F110</f>
        <v>#DIV/0!</v>
      </c>
      <c r="H110" s="3324" t="s">
        <v>2065</v>
      </c>
    </row>
    <row r="111" spans="2:8">
      <c r="B111" s="3404" t="e">
        <f>+B100*B106</f>
        <v>#DIV/0!</v>
      </c>
      <c r="C111" s="3404" t="e">
        <f>+C100*C106</f>
        <v>#DIV/0!</v>
      </c>
      <c r="D111" s="3404" t="e">
        <f>+D100*D106</f>
        <v>#DIV/0!</v>
      </c>
      <c r="E111" s="3404" t="e">
        <f>+E106*E100</f>
        <v>#VALUE!</v>
      </c>
      <c r="F111" s="3404" t="e">
        <f>+F100*F106</f>
        <v>#DIV/0!</v>
      </c>
      <c r="G111" s="3419" t="e">
        <f t="shared" ref="G111:G113" si="0">+B111+C111+D111+E111+F111</f>
        <v>#DIV/0!</v>
      </c>
      <c r="H111" s="3324" t="s">
        <v>2066</v>
      </c>
    </row>
    <row r="112" spans="2:8" ht="13.5" thickBot="1">
      <c r="B112" s="3405" t="e">
        <f>+B101*B106</f>
        <v>#DIV/0!</v>
      </c>
      <c r="C112" s="3405" t="e">
        <f>+C101*C106</f>
        <v>#DIV/0!</v>
      </c>
      <c r="D112" s="3405" t="e">
        <f>+D101*D106</f>
        <v>#DIV/0!</v>
      </c>
      <c r="E112" s="3405" t="e">
        <f>+E106*E101</f>
        <v>#VALUE!</v>
      </c>
      <c r="F112" s="3405" t="e">
        <f>+F101*F106</f>
        <v>#DIV/0!</v>
      </c>
      <c r="G112" s="3420" t="e">
        <f t="shared" si="0"/>
        <v>#DIV/0!</v>
      </c>
      <c r="H112" s="3324" t="s">
        <v>2067</v>
      </c>
    </row>
    <row r="113" spans="2:16" ht="13.5" thickTop="1">
      <c r="B113" s="3406" t="e">
        <f>+B110+B111+B112</f>
        <v>#DIV/0!</v>
      </c>
      <c r="C113" s="3406" t="e">
        <f t="shared" ref="C113:F113" si="1">+C110+C111+C112</f>
        <v>#DIV/0!</v>
      </c>
      <c r="D113" s="3406" t="e">
        <f t="shared" si="1"/>
        <v>#DIV/0!</v>
      </c>
      <c r="E113" s="3406" t="e">
        <f t="shared" si="1"/>
        <v>#VALUE!</v>
      </c>
      <c r="F113" s="3406" t="e">
        <f t="shared" si="1"/>
        <v>#DIV/0!</v>
      </c>
      <c r="G113" s="3421" t="e">
        <f t="shared" si="0"/>
        <v>#DIV/0!</v>
      </c>
      <c r="H113" s="3407" t="s">
        <v>2068</v>
      </c>
    </row>
    <row r="114" spans="2:16" ht="15">
      <c r="B114" s="3325"/>
      <c r="H114" s="3337"/>
    </row>
    <row r="115" spans="2:16" ht="15">
      <c r="B115" s="3325"/>
      <c r="C115" s="3338" t="s">
        <v>2084</v>
      </c>
      <c r="E115" s="3338"/>
      <c r="F115" s="3338"/>
      <c r="G115" s="3423"/>
      <c r="H115" s="3339"/>
      <c r="J115" s="3396"/>
      <c r="K115" s="3397"/>
      <c r="L115" s="3397"/>
      <c r="M115" s="3397"/>
      <c r="N115" s="3397"/>
      <c r="O115" s="3397"/>
      <c r="P115" s="3397"/>
    </row>
    <row r="116" spans="2:16" ht="15.75" thickBot="1">
      <c r="B116" s="3325"/>
      <c r="D116" s="3338"/>
      <c r="E116" s="3338"/>
      <c r="F116" s="3338"/>
      <c r="G116" s="3340" t="e">
        <f>G113+G115</f>
        <v>#DIV/0!</v>
      </c>
      <c r="H116" s="3339"/>
    </row>
    <row r="117" spans="2:16" ht="15.75" thickTop="1">
      <c r="B117" s="3341"/>
      <c r="C117" s="3342"/>
      <c r="D117" s="3342"/>
      <c r="E117" s="3342"/>
      <c r="F117" s="3342"/>
      <c r="G117" s="3342"/>
      <c r="H117" s="3343"/>
    </row>
    <row r="118" spans="2:16" ht="16.5" hidden="1" outlineLevel="1" thickBot="1">
      <c r="B118" s="3344" t="s">
        <v>2078</v>
      </c>
      <c r="C118" s="3345"/>
      <c r="D118" s="3346"/>
      <c r="E118" s="3345"/>
      <c r="F118" s="3345"/>
      <c r="G118" s="3345"/>
      <c r="H118" s="3347"/>
    </row>
    <row r="119" spans="2:16" ht="15.75" hidden="1" outlineLevel="1">
      <c r="B119" s="3348"/>
      <c r="C119" s="3349"/>
      <c r="D119" s="3350"/>
      <c r="E119" s="3349"/>
      <c r="F119" s="3349"/>
      <c r="G119" s="3349"/>
      <c r="H119" s="3351"/>
    </row>
    <row r="120" spans="2:16" ht="13.5" hidden="1" outlineLevel="1" thickBot="1">
      <c r="B120" s="3352"/>
      <c r="C120" s="22"/>
      <c r="D120" s="22"/>
      <c r="E120" s="22"/>
      <c r="F120" s="22"/>
      <c r="G120" s="22"/>
      <c r="H120" s="3353"/>
    </row>
    <row r="121" spans="2:16" ht="15.75" hidden="1" outlineLevel="1" thickBot="1">
      <c r="B121" s="3354" t="s">
        <v>2079</v>
      </c>
      <c r="C121" s="3355"/>
      <c r="D121" s="3355"/>
      <c r="E121" s="3355"/>
      <c r="F121" s="3316">
        <f>D22</f>
        <v>0</v>
      </c>
      <c r="G121" s="22"/>
      <c r="H121" s="3353"/>
    </row>
    <row r="122" spans="2:16" hidden="1" outlineLevel="1">
      <c r="B122" s="3352"/>
      <c r="C122" s="22"/>
      <c r="D122" s="22"/>
      <c r="E122" s="22"/>
      <c r="F122" s="22"/>
      <c r="G122" s="22"/>
      <c r="H122" s="3353"/>
    </row>
    <row r="123" spans="2:16" hidden="1" outlineLevel="1">
      <c r="B123" s="3352"/>
      <c r="C123" s="22"/>
      <c r="D123" s="22"/>
      <c r="E123" s="22"/>
      <c r="F123" s="22"/>
      <c r="G123" s="22"/>
      <c r="H123" s="3353"/>
    </row>
    <row r="124" spans="2:16" ht="15.75" hidden="1" outlineLevel="1">
      <c r="B124" s="3356" t="s">
        <v>2058</v>
      </c>
      <c r="C124" s="3357" t="s">
        <v>2059</v>
      </c>
      <c r="D124" s="3357" t="s">
        <v>2060</v>
      </c>
      <c r="E124" s="3357" t="s">
        <v>2061</v>
      </c>
      <c r="F124" s="3357" t="s">
        <v>1444</v>
      </c>
      <c r="G124" s="3349"/>
      <c r="H124" s="3351"/>
    </row>
    <row r="125" spans="2:16" ht="15.75" hidden="1" outlineLevel="1">
      <c r="B125" s="3358">
        <f>0.0872*$F$121</f>
        <v>0</v>
      </c>
      <c r="C125" s="3359">
        <f>0.1202*$F$121</f>
        <v>0</v>
      </c>
      <c r="D125" s="3359">
        <f>0.1449*$F$121</f>
        <v>0</v>
      </c>
      <c r="E125" s="3359">
        <f>0.1627*$F$121</f>
        <v>0</v>
      </c>
      <c r="F125" s="3359">
        <f>0.1758*$F$121</f>
        <v>0</v>
      </c>
      <c r="G125" s="3349"/>
      <c r="H125" s="3360" t="s">
        <v>2062</v>
      </c>
    </row>
    <row r="126" spans="2:16" ht="15.75" hidden="1" outlineLevel="1">
      <c r="B126" s="3358">
        <f>0.0564*$F$121</f>
        <v>0</v>
      </c>
      <c r="C126" s="3359">
        <f>0.0675*$F$121</f>
        <v>0</v>
      </c>
      <c r="D126" s="3359">
        <f>0.1074*$F$121</f>
        <v>0</v>
      </c>
      <c r="E126" s="3359">
        <f>0.1413*$F$121</f>
        <v>0</v>
      </c>
      <c r="F126" s="3359">
        <f>0.1102*$F$121</f>
        <v>0</v>
      </c>
      <c r="G126" s="3349"/>
      <c r="H126" s="3360" t="s">
        <v>2063</v>
      </c>
    </row>
    <row r="127" spans="2:16" hidden="1" outlineLevel="1">
      <c r="B127" s="3358">
        <f>0.077*$F$121</f>
        <v>0</v>
      </c>
      <c r="C127" s="3359">
        <f>0.1037*$F$121</f>
        <v>0</v>
      </c>
      <c r="D127" s="3359">
        <f>0.1551*$F$121</f>
        <v>0</v>
      </c>
      <c r="E127" s="3359">
        <f>0.2463*$F$121</f>
        <v>0</v>
      </c>
      <c r="F127" s="3359">
        <f>0.3842*$F$121</f>
        <v>0</v>
      </c>
      <c r="G127" s="22"/>
      <c r="H127" s="3360" t="s">
        <v>2064</v>
      </c>
    </row>
    <row r="128" spans="2:16" hidden="1" outlineLevel="1">
      <c r="B128" s="3352"/>
      <c r="C128" s="22"/>
      <c r="D128" s="22"/>
      <c r="E128" s="22"/>
      <c r="F128" s="22"/>
      <c r="G128" s="22"/>
      <c r="H128" s="3353"/>
    </row>
    <row r="129" spans="2:8" ht="15" hidden="1" outlineLevel="1">
      <c r="B129" s="3361" t="s">
        <v>2080</v>
      </c>
      <c r="C129" s="22"/>
      <c r="D129" s="22"/>
      <c r="E129" s="22"/>
      <c r="F129" s="22"/>
      <c r="G129" s="22"/>
      <c r="H129" s="3353"/>
    </row>
    <row r="130" spans="2:8" ht="13.5" hidden="1" outlineLevel="1" thickBot="1">
      <c r="B130" s="3352"/>
      <c r="C130" s="22"/>
      <c r="D130" s="22"/>
      <c r="E130" s="22"/>
      <c r="F130" s="22"/>
      <c r="G130" s="22"/>
      <c r="H130" s="3353"/>
    </row>
    <row r="131" spans="2:8" ht="15" hidden="1" outlineLevel="1">
      <c r="B131" s="3362" t="s">
        <v>811</v>
      </c>
      <c r="C131" s="3363" t="s">
        <v>812</v>
      </c>
      <c r="D131" s="3364" t="s">
        <v>813</v>
      </c>
      <c r="E131" s="3363" t="s">
        <v>814</v>
      </c>
      <c r="F131" s="3365" t="s">
        <v>815</v>
      </c>
      <c r="G131" s="22"/>
      <c r="H131" s="3353"/>
    </row>
    <row r="132" spans="2:8" ht="15.75" hidden="1" outlineLevel="1" thickBot="1">
      <c r="B132" s="3366">
        <f>D24</f>
        <v>0</v>
      </c>
      <c r="C132" s="3366">
        <f>D25</f>
        <v>0</v>
      </c>
      <c r="D132" s="3366">
        <f>D26</f>
        <v>0</v>
      </c>
      <c r="E132" s="3366">
        <f>D27</f>
        <v>0</v>
      </c>
      <c r="F132" s="3366">
        <f>D28</f>
        <v>0</v>
      </c>
      <c r="G132" s="22"/>
      <c r="H132" s="3353"/>
    </row>
    <row r="133" spans="2:8" ht="15" hidden="1" outlineLevel="1">
      <c r="B133" s="3367"/>
      <c r="C133" s="3368"/>
      <c r="D133" s="3369"/>
      <c r="E133" s="3368"/>
      <c r="F133" s="3368"/>
      <c r="G133" s="22"/>
      <c r="H133" s="3353"/>
    </row>
    <row r="134" spans="2:8" ht="15" hidden="1" outlineLevel="1">
      <c r="B134" s="3370" t="s">
        <v>2081</v>
      </c>
      <c r="C134" s="3368"/>
      <c r="D134" s="3369"/>
      <c r="E134" s="3368"/>
      <c r="F134" s="3368"/>
      <c r="G134" s="22"/>
      <c r="H134" s="3353"/>
    </row>
    <row r="135" spans="2:8" hidden="1" outlineLevel="1">
      <c r="B135" s="3352"/>
      <c r="C135" s="22"/>
      <c r="D135" s="22"/>
      <c r="E135" s="22"/>
      <c r="F135" s="22"/>
      <c r="G135" s="22"/>
      <c r="H135" s="3353"/>
    </row>
    <row r="136" spans="2:8" hidden="1" outlineLevel="1">
      <c r="B136" s="3371">
        <f>+B125*B132</f>
        <v>0</v>
      </c>
      <c r="C136" s="3372">
        <f>+C125*C132</f>
        <v>0</v>
      </c>
      <c r="D136" s="3372">
        <f>+D125*D132</f>
        <v>0</v>
      </c>
      <c r="E136" s="3372">
        <f>+E132*E125</f>
        <v>0</v>
      </c>
      <c r="F136" s="3372">
        <f>+F125*F132</f>
        <v>0</v>
      </c>
      <c r="G136" s="3304">
        <f>+B136+C136+D136+E136+F136</f>
        <v>0</v>
      </c>
      <c r="H136" s="3353" t="s">
        <v>2065</v>
      </c>
    </row>
    <row r="137" spans="2:8" hidden="1" outlineLevel="1">
      <c r="B137" s="3371">
        <f>+B126*B132</f>
        <v>0</v>
      </c>
      <c r="C137" s="3372">
        <f>+C126*C132</f>
        <v>0</v>
      </c>
      <c r="D137" s="3372">
        <f>+D126*D132</f>
        <v>0</v>
      </c>
      <c r="E137" s="3372">
        <f>+E132*E126</f>
        <v>0</v>
      </c>
      <c r="F137" s="3372">
        <f>+F126*F132</f>
        <v>0</v>
      </c>
      <c r="G137" s="3304">
        <f t="shared" ref="G137:G139" si="2">+B137+C137+D137+E137+F137</f>
        <v>0</v>
      </c>
      <c r="H137" s="3353" t="s">
        <v>2066</v>
      </c>
    </row>
    <row r="138" spans="2:8" ht="13.5" hidden="1" outlineLevel="1" thickBot="1">
      <c r="B138" s="3373">
        <f>+B127*B132</f>
        <v>0</v>
      </c>
      <c r="C138" s="3374">
        <f>+C127*C132</f>
        <v>0</v>
      </c>
      <c r="D138" s="3374">
        <f>+D127*D132</f>
        <v>0</v>
      </c>
      <c r="E138" s="3374">
        <f>+E132*E127</f>
        <v>0</v>
      </c>
      <c r="F138" s="3374">
        <f>+F127*F132</f>
        <v>0</v>
      </c>
      <c r="G138" s="3375">
        <f t="shared" si="2"/>
        <v>0</v>
      </c>
      <c r="H138" s="3360" t="s">
        <v>2067</v>
      </c>
    </row>
    <row r="139" spans="2:8" ht="13.5" hidden="1" outlineLevel="1" thickTop="1">
      <c r="B139" s="3376">
        <f>+B136+B137+B138</f>
        <v>0</v>
      </c>
      <c r="C139" s="3377">
        <f t="shared" ref="C139:F139" si="3">+C136+C137+C138</f>
        <v>0</v>
      </c>
      <c r="D139" s="3377">
        <f>+D136+D137+D138</f>
        <v>0</v>
      </c>
      <c r="E139" s="3377">
        <f t="shared" si="3"/>
        <v>0</v>
      </c>
      <c r="F139" s="3377">
        <f t="shared" si="3"/>
        <v>0</v>
      </c>
      <c r="G139" s="3378">
        <f t="shared" si="2"/>
        <v>0</v>
      </c>
      <c r="H139" s="3379" t="s">
        <v>2068</v>
      </c>
    </row>
    <row r="140" spans="2:8" hidden="1" outlineLevel="1">
      <c r="B140" s="3352"/>
      <c r="C140" s="22"/>
      <c r="D140" s="22"/>
      <c r="E140" s="22"/>
      <c r="F140" s="22"/>
      <c r="G140" s="22"/>
      <c r="H140" s="3353"/>
    </row>
    <row r="141" spans="2:8" hidden="1" outlineLevel="1">
      <c r="B141" s="3380"/>
      <c r="C141" s="22"/>
      <c r="D141" s="22"/>
      <c r="E141" s="22"/>
      <c r="F141" s="22"/>
      <c r="G141" s="22"/>
      <c r="H141" s="3353"/>
    </row>
    <row r="142" spans="2:8" hidden="1" outlineLevel="1">
      <c r="B142" s="3380" t="s">
        <v>2102</v>
      </c>
      <c r="C142" s="22"/>
      <c r="D142" s="22"/>
      <c r="E142" s="22"/>
      <c r="F142" s="22"/>
      <c r="G142" s="22"/>
      <c r="H142" s="3353"/>
    </row>
    <row r="143" spans="2:8" ht="13.5" hidden="1" outlineLevel="1" thickBot="1">
      <c r="B143" s="3381"/>
      <c r="C143" s="3382"/>
      <c r="D143" s="3382"/>
      <c r="E143" s="3382"/>
      <c r="F143" s="3382"/>
      <c r="G143" s="3382"/>
      <c r="H143" s="3383"/>
    </row>
    <row r="144" spans="2:8" collapsed="1"/>
  </sheetData>
  <mergeCells count="3">
    <mergeCell ref="E13:H13"/>
    <mergeCell ref="G2:H2"/>
    <mergeCell ref="G3:H3"/>
  </mergeCells>
  <conditionalFormatting sqref="G115">
    <cfRule type="expression" dxfId="470" priority="1">
      <formula>D67&lt;G85</formula>
    </cfRule>
  </conditionalFormatting>
  <dataValidations count="1">
    <dataValidation type="list" allowBlank="1" showInputMessage="1" showErrorMessage="1" sqref="K12:K14">
      <formula1>"ja,nein"</formula1>
    </dataValidation>
  </dataValidations>
  <pageMargins left="0.7" right="0.7" top="0.78740157499999996" bottom="0.78740157499999996" header="0.3" footer="0.3"/>
  <pageSetup paperSize="9" orientation="portrait"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tabColor theme="7"/>
    <pageSetUpPr fitToPage="1"/>
  </sheetPr>
  <dimension ref="A1:Z70"/>
  <sheetViews>
    <sheetView zoomScale="90" zoomScaleNormal="90" workbookViewId="0">
      <selection activeCell="O38" sqref="O38"/>
    </sheetView>
  </sheetViews>
  <sheetFormatPr baseColWidth="10" defaultColWidth="11.42578125" defaultRowHeight="12.75"/>
  <cols>
    <col min="1" max="1" width="6.5703125" style="2118" bestFit="1" customWidth="1"/>
    <col min="2" max="4" width="13.140625" style="2118" customWidth="1"/>
    <col min="5" max="5" width="14" style="2118" customWidth="1"/>
    <col min="6" max="7" width="13.140625" style="2118" customWidth="1"/>
    <col min="8" max="8" width="2.7109375" style="2118" customWidth="1"/>
    <col min="9" max="9" width="12.42578125" style="2118" customWidth="1"/>
    <col min="10" max="10" width="14.42578125" style="2118" customWidth="1"/>
    <col min="11" max="15" width="13.140625" style="2118" customWidth="1"/>
    <col min="16" max="16" width="15" style="2121" bestFit="1" customWidth="1"/>
    <col min="17" max="17" width="4.28515625" style="2121" customWidth="1"/>
    <col min="18" max="18" width="16.42578125" style="2118" bestFit="1" customWidth="1"/>
    <col min="19" max="19" width="4.28515625" style="2118" customWidth="1"/>
    <col min="20" max="16384" width="11.42578125" style="2118"/>
  </cols>
  <sheetData>
    <row r="1" spans="1:23" ht="21" customHeight="1" thickBot="1">
      <c r="A1" s="2117"/>
      <c r="B1" s="4862">
        <f>'84 8 Übersicht'!C4</f>
        <v>0</v>
      </c>
      <c r="C1" s="4863"/>
      <c r="D1" s="4863"/>
      <c r="E1" s="4863"/>
      <c r="F1" s="4864"/>
      <c r="G1" s="4865">
        <f>'84 8 Übersicht'!C12</f>
        <v>0</v>
      </c>
      <c r="H1" s="4866"/>
      <c r="I1" s="4867"/>
      <c r="J1" s="4868" t="s">
        <v>100</v>
      </c>
      <c r="K1" s="4869"/>
      <c r="L1" s="4870"/>
      <c r="N1" s="2119"/>
      <c r="O1" s="2120" t="s">
        <v>1076</v>
      </c>
      <c r="V1" s="2122"/>
      <c r="W1" s="2123"/>
    </row>
    <row r="2" spans="1:23" ht="21" customHeight="1" thickBot="1">
      <c r="A2" s="2124"/>
      <c r="B2" s="4862">
        <f>'84 8 Übersicht'!C5</f>
        <v>0</v>
      </c>
      <c r="C2" s="4863"/>
      <c r="D2" s="4863"/>
      <c r="E2" s="4863"/>
      <c r="F2" s="4864"/>
      <c r="G2" s="4871" t="s">
        <v>80</v>
      </c>
      <c r="H2" s="4872"/>
      <c r="I2" s="4873"/>
      <c r="J2" s="2125" t="s">
        <v>1603</v>
      </c>
      <c r="K2" s="2126">
        <f>'84 8 Nachweis'!P5</f>
        <v>45717</v>
      </c>
      <c r="L2" s="2127" t="s">
        <v>1152</v>
      </c>
      <c r="N2" s="2128"/>
      <c r="O2" s="2129" t="s">
        <v>1193</v>
      </c>
    </row>
    <row r="3" spans="1:23" ht="21" customHeight="1" thickBot="1">
      <c r="A3" s="2124"/>
      <c r="B3" s="4859" t="str">
        <f>CONCATENATE('84 8 Übersicht'!C6," ",'84 8 Übersicht'!D6)</f>
        <v>0 0</v>
      </c>
      <c r="C3" s="4860"/>
      <c r="D3" s="4860"/>
      <c r="E3" s="4860"/>
      <c r="F3" s="4861"/>
      <c r="G3" s="2130"/>
      <c r="H3" s="2131"/>
      <c r="I3" s="2132"/>
      <c r="J3" s="2133" t="s">
        <v>93</v>
      </c>
      <c r="K3" s="2134">
        <f>EOMONTH(K2,11)</f>
        <v>46081</v>
      </c>
      <c r="L3" s="2135">
        <f>(YEAR(K3)-YEAR(K2))*12+MONTH(K3)-MONTH(K2)+1</f>
        <v>12</v>
      </c>
      <c r="N3" s="2136"/>
      <c r="O3" s="2137"/>
    </row>
    <row r="4" spans="1:23" ht="24.75" customHeight="1" thickBot="1">
      <c r="A4" s="2124"/>
      <c r="B4" s="2138"/>
      <c r="C4" s="2139" t="s">
        <v>1112</v>
      </c>
      <c r="D4" s="2140">
        <f>+'84 8 Übersicht'!D20</f>
        <v>0</v>
      </c>
      <c r="E4" s="4886" t="str">
        <f>IF('84 8 Nachweis'!$K$7&lt;('84 8 Nachweis'!$G$7*(100%-'84 8 Übersicht'!$F$2)),"Achtung, Minderbesetzung !","")</f>
        <v/>
      </c>
      <c r="F4" s="4887"/>
      <c r="G4" s="2141" t="str">
        <f>IF('84 8 Nachweis'!K7&lt;('84 8 Nachweis'!G7*(100%-'84 8 Übersicht'!F2)),'84 8 Nachweis'!G7-'84 8 Nachweis'!K7,"")</f>
        <v/>
      </c>
      <c r="H4" s="2142" t="str">
        <f>IF(E4="","","=")</f>
        <v/>
      </c>
      <c r="I4" s="2143" t="str">
        <f>IF(E4="","",'84 8 Nachweis'!I6*'84 8 Übersicht'!C40-'84 8 Nachweis'!K32)</f>
        <v/>
      </c>
      <c r="J4" s="4888" t="str">
        <f>IF(I4&gt;0,"","Achtung! Ausgaben größer als Einnahmen")</f>
        <v/>
      </c>
      <c r="K4" s="4888"/>
      <c r="L4" s="4889"/>
      <c r="N4" s="2144" t="s">
        <v>1153</v>
      </c>
      <c r="Q4" s="2118"/>
    </row>
    <row r="5" spans="1:23" ht="38.25" customHeight="1" thickBot="1">
      <c r="A5" s="2124"/>
      <c r="B5" s="2145"/>
      <c r="C5" s="2146" t="s">
        <v>1114</v>
      </c>
      <c r="D5" s="2147">
        <f>D4/12/20</f>
        <v>0</v>
      </c>
      <c r="E5" s="2148" t="s">
        <v>1111</v>
      </c>
      <c r="F5" s="2149">
        <f>+'84 8 Übersicht'!D21</f>
        <v>20</v>
      </c>
      <c r="G5" s="2150" t="str">
        <f>IF('84 8 Nachweis'!K7&gt;'84 8 Nachweis'!G7,"","§ 115 (3a) oder Zuschlag")</f>
        <v/>
      </c>
      <c r="H5" s="2151"/>
      <c r="I5" s="4890" t="str">
        <f>IF('84 8 Nachweis'!K7&gt;'84 8 Nachweis'!G7,"","Individueller Zu- oder Abschlag für "&amp;L3&amp;" Monate")</f>
        <v/>
      </c>
      <c r="J5" s="4890"/>
      <c r="K5" s="4891"/>
      <c r="L5" s="2152"/>
      <c r="N5" s="2144" t="s">
        <v>1154</v>
      </c>
      <c r="Q5" s="2118"/>
    </row>
    <row r="6" spans="1:23" ht="24.95" customHeight="1" thickBot="1">
      <c r="A6" s="2124"/>
      <c r="B6" s="4892" t="s">
        <v>1116</v>
      </c>
      <c r="C6" s="4893"/>
      <c r="D6" s="4893"/>
      <c r="E6" s="4893"/>
      <c r="F6" s="4893"/>
      <c r="G6" s="2153"/>
      <c r="H6" s="2154"/>
      <c r="I6" s="4894"/>
      <c r="J6" s="4894"/>
      <c r="K6" s="4895"/>
      <c r="L6" s="2152"/>
      <c r="N6" s="2144" t="s">
        <v>1155</v>
      </c>
      <c r="Q6" s="2118"/>
    </row>
    <row r="7" spans="1:23" ht="37.5" customHeight="1" thickBot="1">
      <c r="A7" s="2124"/>
      <c r="B7" s="2155" t="s">
        <v>1124</v>
      </c>
      <c r="C7" s="2155" t="s">
        <v>1529</v>
      </c>
      <c r="D7" s="2155" t="s">
        <v>1122</v>
      </c>
      <c r="E7" s="2155" t="s">
        <v>1586</v>
      </c>
      <c r="F7" s="2155" t="s">
        <v>1585</v>
      </c>
      <c r="G7" s="2155" t="s">
        <v>1156</v>
      </c>
      <c r="H7" s="2156"/>
      <c r="I7" s="4874" t="s">
        <v>1109</v>
      </c>
      <c r="J7" s="4875"/>
      <c r="K7" s="2157"/>
      <c r="L7" s="3247" t="str">
        <f>'84 8 Nachweis'!C5</f>
        <v>reg. übl. Entgeltniveau</v>
      </c>
      <c r="P7" s="2118"/>
      <c r="Q7" s="2118"/>
    </row>
    <row r="8" spans="1:23" ht="16.5" customHeight="1" thickBot="1">
      <c r="A8" s="2124"/>
      <c r="B8" s="2158"/>
      <c r="C8" s="2158" t="s">
        <v>1157</v>
      </c>
      <c r="D8" s="2158" t="s">
        <v>1158</v>
      </c>
      <c r="E8" s="2158"/>
      <c r="F8" s="2158" t="s">
        <v>1159</v>
      </c>
      <c r="G8" s="2158" t="s">
        <v>1160</v>
      </c>
      <c r="H8" s="2156"/>
      <c r="I8" s="4876" t="s">
        <v>1161</v>
      </c>
      <c r="J8" s="4877"/>
      <c r="K8" s="4878" t="s">
        <v>1118</v>
      </c>
      <c r="L8" s="4879"/>
      <c r="P8" s="2118"/>
      <c r="Q8" s="2118"/>
    </row>
    <row r="9" spans="1:23" ht="13.5" thickBot="1">
      <c r="A9" s="2124"/>
      <c r="B9" s="2159">
        <v>9</v>
      </c>
      <c r="C9" s="2159">
        <v>10</v>
      </c>
      <c r="D9" s="2159">
        <v>11</v>
      </c>
      <c r="E9" s="2159">
        <v>12</v>
      </c>
      <c r="F9" s="2159">
        <v>13</v>
      </c>
      <c r="G9" s="2159">
        <v>14</v>
      </c>
      <c r="H9" s="2156"/>
      <c r="I9" s="2160" t="s">
        <v>222</v>
      </c>
      <c r="J9" s="2161" t="s">
        <v>1162</v>
      </c>
      <c r="K9" s="4880"/>
      <c r="L9" s="4881"/>
      <c r="N9" s="2117"/>
      <c r="O9" s="2162"/>
      <c r="P9" s="2162"/>
      <c r="Q9" s="2162"/>
      <c r="R9" s="2162"/>
      <c r="S9" s="2162"/>
      <c r="T9" s="2162"/>
      <c r="U9" s="2163"/>
    </row>
    <row r="10" spans="1:23">
      <c r="A10" s="2164">
        <v>1</v>
      </c>
      <c r="B10" s="2165" t="str">
        <f>IF('84 8 Nachweis'!M12="","",'84 8 Nachweis'!M12)</f>
        <v/>
      </c>
      <c r="C10" s="2166" t="str">
        <f t="shared" ref="C10:C29" si="0">IF(D10="","",D10*B10)</f>
        <v/>
      </c>
      <c r="D10" s="2167" t="str">
        <f>IF('84 8 Nachweis'!O12="","",'84 8 Nachweis'!O12)</f>
        <v/>
      </c>
      <c r="E10" s="2167" t="str">
        <f>IF('84 8 Nachweis'!P12="","",'84 8 Nachweis'!P12)</f>
        <v/>
      </c>
      <c r="F10" s="2168" t="str">
        <f>IF(B10="","",IF(E10="",C10,C10+E10))</f>
        <v/>
      </c>
      <c r="G10" s="2169" t="str">
        <f>IF('84 8 Nachweis'!H12="","",IF(B10="","",(C10/B10-'84 8 Nachweis'!H12/'84 8 Nachweis'!G12)/('84 8 Nachweis'!H12/'84 8 Nachweis'!G12)))</f>
        <v/>
      </c>
      <c r="H10" s="2156"/>
      <c r="I10" s="2170" t="str">
        <f>IF(J10="","",J10-D10)</f>
        <v/>
      </c>
      <c r="J10" s="2171"/>
      <c r="K10" s="4882" t="str">
        <f>IF('84 8 Nachweis'!M12="","",IF('84 8 Nachweis'!E12="","",'84 8 Nachweis'!E12))</f>
        <v/>
      </c>
      <c r="L10" s="4883"/>
      <c r="N10" s="2124"/>
      <c r="O10" s="2156"/>
      <c r="P10" s="2156"/>
      <c r="Q10" s="2156"/>
      <c r="R10" s="2156"/>
      <c r="S10" s="2156"/>
      <c r="T10" s="2156"/>
      <c r="U10" s="2152"/>
    </row>
    <row r="11" spans="1:23">
      <c r="A11" s="2164">
        <v>2</v>
      </c>
      <c r="B11" s="2172" t="str">
        <f>IF('84 8 Nachweis'!M13="","",'84 8 Nachweis'!M13)</f>
        <v/>
      </c>
      <c r="C11" s="2173" t="str">
        <f t="shared" si="0"/>
        <v/>
      </c>
      <c r="D11" s="2174" t="str">
        <f>IF('84 8 Nachweis'!O13="","",'84 8 Nachweis'!O13)</f>
        <v/>
      </c>
      <c r="E11" s="2174" t="str">
        <f>IF('84 8 Nachweis'!P13="","",'84 8 Nachweis'!P13)</f>
        <v/>
      </c>
      <c r="F11" s="2175" t="str">
        <f t="shared" ref="F11:F29" si="1">IF(B11="","",IF(E11="",C11,C11+E11))</f>
        <v/>
      </c>
      <c r="G11" s="2176" t="str">
        <f>IF('84 8 Nachweis'!H13="","",IF(B11="","",(C11/B11-'84 8 Nachweis'!H13/'84 8 Nachweis'!G13)/('84 8 Nachweis'!H13/'84 8 Nachweis'!G13)))</f>
        <v/>
      </c>
      <c r="H11" s="2156"/>
      <c r="I11" s="2177" t="str">
        <f t="shared" ref="I11:I28" si="2">IF(J11="","",J11-D11)</f>
        <v/>
      </c>
      <c r="J11" s="2178"/>
      <c r="K11" s="4884" t="str">
        <f>IF('84 8 Nachweis'!M13="","",IF('84 8 Nachweis'!E13="","",'84 8 Nachweis'!E13))</f>
        <v/>
      </c>
      <c r="L11" s="4885"/>
      <c r="N11" s="4896" t="s">
        <v>1163</v>
      </c>
      <c r="O11" s="4897"/>
      <c r="P11" s="4897"/>
      <c r="Q11" s="4897"/>
      <c r="R11" s="4897"/>
      <c r="S11" s="4897"/>
      <c r="T11" s="4897"/>
      <c r="U11" s="4898"/>
    </row>
    <row r="12" spans="1:23">
      <c r="A12" s="2164">
        <v>3</v>
      </c>
      <c r="B12" s="2172" t="str">
        <f>IF('84 8 Nachweis'!M14="","",'84 8 Nachweis'!M14)</f>
        <v/>
      </c>
      <c r="C12" s="2173" t="str">
        <f t="shared" si="0"/>
        <v/>
      </c>
      <c r="D12" s="2174" t="str">
        <f>IF('84 8 Nachweis'!O14="","",'84 8 Nachweis'!O14)</f>
        <v/>
      </c>
      <c r="E12" s="2174" t="str">
        <f>IF('84 8 Nachweis'!P14="","",'84 8 Nachweis'!P14)</f>
        <v/>
      </c>
      <c r="F12" s="2175" t="str">
        <f t="shared" si="1"/>
        <v/>
      </c>
      <c r="G12" s="2176" t="str">
        <f>IF('84 8 Nachweis'!H14="","",IF(B12="","",(C12/B12-'84 8 Nachweis'!H14/'84 8 Nachweis'!G14)/('84 8 Nachweis'!H14/'84 8 Nachweis'!G14)))</f>
        <v/>
      </c>
      <c r="H12" s="2156"/>
      <c r="I12" s="2177" t="str">
        <f t="shared" si="2"/>
        <v/>
      </c>
      <c r="J12" s="2178"/>
      <c r="K12" s="4884" t="str">
        <f>IF('84 8 Nachweis'!M14="","",IF('84 8 Nachweis'!E14="","",'84 8 Nachweis'!E14))</f>
        <v/>
      </c>
      <c r="L12" s="4885"/>
      <c r="N12" s="2124"/>
      <c r="O12" s="2156"/>
      <c r="P12" s="2156"/>
      <c r="Q12" s="2156"/>
      <c r="R12" s="2156"/>
      <c r="S12" s="2156"/>
      <c r="T12" s="2156"/>
      <c r="U12" s="2152"/>
    </row>
    <row r="13" spans="1:23">
      <c r="A13" s="2164">
        <v>4</v>
      </c>
      <c r="B13" s="2172" t="str">
        <f>IF('84 8 Nachweis'!M15="","",'84 8 Nachweis'!M15)</f>
        <v/>
      </c>
      <c r="C13" s="2173" t="str">
        <f t="shared" si="0"/>
        <v/>
      </c>
      <c r="D13" s="2174" t="str">
        <f>IF('84 8 Nachweis'!O15="","",'84 8 Nachweis'!O15)</f>
        <v/>
      </c>
      <c r="E13" s="2174" t="str">
        <f>IF('84 8 Nachweis'!P15="","",'84 8 Nachweis'!P15)</f>
        <v/>
      </c>
      <c r="F13" s="2175" t="str">
        <f t="shared" si="1"/>
        <v/>
      </c>
      <c r="G13" s="2176" t="str">
        <f>IF('84 8 Nachweis'!H15="","",IF(B13="","",(C13/B13-'84 8 Nachweis'!H15/'84 8 Nachweis'!G15)/('84 8 Nachweis'!H15/'84 8 Nachweis'!G15)))</f>
        <v/>
      </c>
      <c r="H13" s="2156"/>
      <c r="I13" s="2177" t="str">
        <f t="shared" si="2"/>
        <v/>
      </c>
      <c r="J13" s="2178"/>
      <c r="K13" s="4884" t="str">
        <f>IF('84 8 Nachweis'!M15="","",IF('84 8 Nachweis'!E15="","",'84 8 Nachweis'!E15))</f>
        <v/>
      </c>
      <c r="L13" s="4885"/>
      <c r="N13" s="4899" t="s">
        <v>1440</v>
      </c>
      <c r="O13" s="4900"/>
      <c r="P13" s="4900"/>
      <c r="Q13" s="4900"/>
      <c r="R13" s="4900"/>
      <c r="S13" s="4900"/>
      <c r="T13" s="4900"/>
      <c r="U13" s="4901"/>
    </row>
    <row r="14" spans="1:23">
      <c r="A14" s="2164">
        <v>5</v>
      </c>
      <c r="B14" s="2172" t="str">
        <f>IF('84 8 Nachweis'!M16="","",'84 8 Nachweis'!M16)</f>
        <v/>
      </c>
      <c r="C14" s="2173" t="str">
        <f t="shared" si="0"/>
        <v/>
      </c>
      <c r="D14" s="2174" t="str">
        <f>IF('84 8 Nachweis'!O16="","",'84 8 Nachweis'!O16)</f>
        <v/>
      </c>
      <c r="E14" s="2174" t="str">
        <f>IF('84 8 Nachweis'!P16="","",'84 8 Nachweis'!P16)</f>
        <v/>
      </c>
      <c r="F14" s="2175" t="str">
        <f t="shared" si="1"/>
        <v/>
      </c>
      <c r="G14" s="2176" t="str">
        <f>IF('84 8 Nachweis'!H16="","",IF(B14="","",(C14/B14-'84 8 Nachweis'!H16/'84 8 Nachweis'!G16)/('84 8 Nachweis'!H16/'84 8 Nachweis'!G16)))</f>
        <v/>
      </c>
      <c r="H14" s="2156"/>
      <c r="I14" s="2177" t="str">
        <f t="shared" si="2"/>
        <v/>
      </c>
      <c r="J14" s="2178"/>
      <c r="K14" s="4884" t="str">
        <f>IF('84 8 Nachweis'!M16="","",IF('84 8 Nachweis'!E16="","",'84 8 Nachweis'!E16))</f>
        <v/>
      </c>
      <c r="L14" s="4885"/>
      <c r="N14" s="2124"/>
      <c r="O14" s="2156"/>
      <c r="P14" s="2156"/>
      <c r="Q14" s="2156"/>
      <c r="R14" s="2156"/>
      <c r="S14" s="2156"/>
      <c r="T14" s="2156"/>
      <c r="U14" s="2152"/>
    </row>
    <row r="15" spans="1:23" s="2121" customFormat="1">
      <c r="A15" s="2164">
        <v>6</v>
      </c>
      <c r="B15" s="2172" t="str">
        <f>IF('84 8 Nachweis'!M17="","",'84 8 Nachweis'!M17)</f>
        <v/>
      </c>
      <c r="C15" s="2173" t="str">
        <f t="shared" si="0"/>
        <v/>
      </c>
      <c r="D15" s="2174" t="str">
        <f>IF('84 8 Nachweis'!O17="","",'84 8 Nachweis'!O17)</f>
        <v/>
      </c>
      <c r="E15" s="2174" t="str">
        <f>IF('84 8 Nachweis'!P17="","",'84 8 Nachweis'!P17)</f>
        <v/>
      </c>
      <c r="F15" s="2175" t="str">
        <f t="shared" si="1"/>
        <v/>
      </c>
      <c r="G15" s="2176" t="str">
        <f>IF('84 8 Nachweis'!H17="","",IF(B15="","",(C15/B15-'84 8 Nachweis'!H17/'84 8 Nachweis'!G17)/('84 8 Nachweis'!H17/'84 8 Nachweis'!G17)))</f>
        <v/>
      </c>
      <c r="H15" s="2156"/>
      <c r="I15" s="2177" t="str">
        <f t="shared" si="2"/>
        <v/>
      </c>
      <c r="J15" s="2178"/>
      <c r="K15" s="4884" t="str">
        <f>IF('84 8 Nachweis'!M17="","",IF('84 8 Nachweis'!E17="","",'84 8 Nachweis'!E17))</f>
        <v/>
      </c>
      <c r="L15" s="4885"/>
      <c r="M15" s="2118"/>
      <c r="N15" s="2124"/>
      <c r="O15" s="2179"/>
      <c r="P15" s="2156"/>
      <c r="Q15" s="2156"/>
      <c r="R15" s="2156"/>
      <c r="S15" s="2156"/>
      <c r="T15" s="2156"/>
      <c r="U15" s="2180"/>
    </row>
    <row r="16" spans="1:23" s="2121" customFormat="1">
      <c r="A16" s="2164">
        <v>7</v>
      </c>
      <c r="B16" s="2172" t="str">
        <f>IF('84 8 Nachweis'!M18="","",'84 8 Nachweis'!M18)</f>
        <v/>
      </c>
      <c r="C16" s="2173" t="str">
        <f t="shared" si="0"/>
        <v/>
      </c>
      <c r="D16" s="2174" t="str">
        <f>IF('84 8 Nachweis'!O18="","",'84 8 Nachweis'!O18)</f>
        <v/>
      </c>
      <c r="E16" s="2174" t="str">
        <f>IF('84 8 Nachweis'!P18="","",'84 8 Nachweis'!P18)</f>
        <v/>
      </c>
      <c r="F16" s="2175" t="str">
        <f t="shared" si="1"/>
        <v/>
      </c>
      <c r="G16" s="2176" t="str">
        <f>IF('84 8 Nachweis'!H18="","",IF(B16="","",(C16/B16-'84 8 Nachweis'!H18/'84 8 Nachweis'!G18)/('84 8 Nachweis'!H18/'84 8 Nachweis'!G18)))</f>
        <v/>
      </c>
      <c r="H16" s="2156"/>
      <c r="I16" s="2177" t="str">
        <f t="shared" si="2"/>
        <v/>
      </c>
      <c r="J16" s="2178"/>
      <c r="K16" s="4884" t="str">
        <f>IF('84 8 Nachweis'!M18="","",IF('84 8 Nachweis'!E18="","",'84 8 Nachweis'!E18))</f>
        <v/>
      </c>
      <c r="L16" s="4885"/>
      <c r="M16" s="2118"/>
      <c r="N16" s="2181" t="s">
        <v>1164</v>
      </c>
      <c r="O16" s="2182" t="s">
        <v>1165</v>
      </c>
      <c r="P16" s="2182" t="s">
        <v>1166</v>
      </c>
      <c r="Q16" s="2182"/>
      <c r="R16" s="2182" t="s">
        <v>1167</v>
      </c>
      <c r="S16" s="2182"/>
      <c r="T16" s="2182" t="s">
        <v>32</v>
      </c>
      <c r="U16" s="2180"/>
    </row>
    <row r="17" spans="1:26" s="2121" customFormat="1">
      <c r="A17" s="2164">
        <v>8</v>
      </c>
      <c r="B17" s="2172" t="str">
        <f>IF('84 8 Nachweis'!M19="","",'84 8 Nachweis'!M19)</f>
        <v/>
      </c>
      <c r="C17" s="2173" t="str">
        <f t="shared" si="0"/>
        <v/>
      </c>
      <c r="D17" s="2174" t="str">
        <f>IF('84 8 Nachweis'!O19="","",'84 8 Nachweis'!O19)</f>
        <v/>
      </c>
      <c r="E17" s="2174" t="str">
        <f>IF('84 8 Nachweis'!P19="","",'84 8 Nachweis'!P19)</f>
        <v/>
      </c>
      <c r="F17" s="2175" t="str">
        <f t="shared" si="1"/>
        <v/>
      </c>
      <c r="G17" s="2176" t="str">
        <f>IF('84 8 Nachweis'!H19="","",IF(B17="","",(C17/B17-'84 8 Nachweis'!H19/'84 8 Nachweis'!G19)/('84 8 Nachweis'!H19/'84 8 Nachweis'!G19)))</f>
        <v/>
      </c>
      <c r="H17" s="2156"/>
      <c r="I17" s="2177" t="str">
        <f t="shared" si="2"/>
        <v/>
      </c>
      <c r="J17" s="2178"/>
      <c r="K17" s="4884" t="str">
        <f>IF('84 8 Nachweis'!M19="","",IF('84 8 Nachweis'!E19="","",'84 8 Nachweis'!E19))</f>
        <v/>
      </c>
      <c r="L17" s="4885"/>
      <c r="M17" s="2118"/>
      <c r="N17" s="2124"/>
      <c r="O17" s="2156"/>
      <c r="P17" s="2182" t="s">
        <v>1168</v>
      </c>
      <c r="Q17" s="2156"/>
      <c r="R17" s="2182" t="s">
        <v>828</v>
      </c>
      <c r="S17" s="2156"/>
      <c r="T17" s="2156"/>
      <c r="U17" s="2180"/>
    </row>
    <row r="18" spans="1:26" s="2121" customFormat="1">
      <c r="A18" s="2164">
        <v>9</v>
      </c>
      <c r="B18" s="2172" t="str">
        <f>IF('84 8 Nachweis'!M20="","",'84 8 Nachweis'!M20)</f>
        <v/>
      </c>
      <c r="C18" s="2173" t="str">
        <f t="shared" si="0"/>
        <v/>
      </c>
      <c r="D18" s="2174" t="str">
        <f>IF('84 8 Nachweis'!O20="","",'84 8 Nachweis'!O20)</f>
        <v/>
      </c>
      <c r="E18" s="2174" t="str">
        <f>IF('84 8 Nachweis'!P20="","",'84 8 Nachweis'!P20)</f>
        <v/>
      </c>
      <c r="F18" s="2175" t="str">
        <f t="shared" si="1"/>
        <v/>
      </c>
      <c r="G18" s="2176" t="str">
        <f>IF('84 8 Nachweis'!H20="","",IF(B18="","",(C18/B18-'84 8 Nachweis'!H20/'84 8 Nachweis'!G20)/('84 8 Nachweis'!H20/'84 8 Nachweis'!G20)))</f>
        <v/>
      </c>
      <c r="H18" s="2156"/>
      <c r="I18" s="2177" t="str">
        <f t="shared" si="2"/>
        <v/>
      </c>
      <c r="J18" s="2178"/>
      <c r="K18" s="4884" t="str">
        <f>IF('84 8 Nachweis'!M20="","",IF('84 8 Nachweis'!E20="","",'84 8 Nachweis'!E20))</f>
        <v/>
      </c>
      <c r="L18" s="4885"/>
      <c r="M18" s="2118"/>
      <c r="N18" s="2124"/>
      <c r="O18" s="2156"/>
      <c r="P18" s="2156"/>
      <c r="Q18" s="2156"/>
      <c r="R18" s="2156"/>
      <c r="S18" s="2156"/>
      <c r="T18" s="2156"/>
      <c r="U18" s="2180"/>
    </row>
    <row r="19" spans="1:26" s="2121" customFormat="1">
      <c r="A19" s="2164">
        <v>10</v>
      </c>
      <c r="B19" s="2172" t="str">
        <f>IF('84 8 Nachweis'!M21="","",'84 8 Nachweis'!M21)</f>
        <v/>
      </c>
      <c r="C19" s="2173" t="str">
        <f t="shared" si="0"/>
        <v/>
      </c>
      <c r="D19" s="2174" t="str">
        <f>IF('84 8 Nachweis'!O21="","",'84 8 Nachweis'!O21)</f>
        <v/>
      </c>
      <c r="E19" s="2174" t="str">
        <f>IF('84 8 Nachweis'!P21="","",'84 8 Nachweis'!P21)</f>
        <v/>
      </c>
      <c r="F19" s="2175" t="str">
        <f t="shared" si="1"/>
        <v/>
      </c>
      <c r="G19" s="2176" t="str">
        <f>IF('84 8 Nachweis'!H21="","",IF(B19="","",(C19/B19-'84 8 Nachweis'!H21/'84 8 Nachweis'!G21)/('84 8 Nachweis'!H21/'84 8 Nachweis'!G21)))</f>
        <v/>
      </c>
      <c r="H19" s="2156"/>
      <c r="I19" s="2177" t="str">
        <f t="shared" si="2"/>
        <v/>
      </c>
      <c r="J19" s="2178"/>
      <c r="K19" s="4884" t="str">
        <f>IF('84 8 Nachweis'!M21="","",IF('84 8 Nachweis'!E21="","",'84 8 Nachweis'!E21))</f>
        <v/>
      </c>
      <c r="L19" s="4885"/>
      <c r="M19" s="2118"/>
      <c r="N19" s="2183">
        <v>25</v>
      </c>
      <c r="O19" s="2184">
        <v>2009</v>
      </c>
      <c r="P19" s="2185"/>
      <c r="Q19" s="2186" t="s">
        <v>808</v>
      </c>
      <c r="R19" s="2187">
        <f>100*12*25</f>
        <v>30000</v>
      </c>
      <c r="S19" s="2186" t="s">
        <v>1169</v>
      </c>
      <c r="T19" s="2188">
        <f>P19*R19</f>
        <v>0</v>
      </c>
      <c r="U19" s="2189" t="s">
        <v>1170</v>
      </c>
      <c r="W19" s="2121" t="s">
        <v>1171</v>
      </c>
      <c r="Z19" s="2121" t="s">
        <v>1172</v>
      </c>
    </row>
    <row r="20" spans="1:26" s="2121" customFormat="1">
      <c r="A20" s="2164">
        <v>11</v>
      </c>
      <c r="B20" s="2172" t="str">
        <f>IF('84 8 Nachweis'!M22="","",'84 8 Nachweis'!M22)</f>
        <v/>
      </c>
      <c r="C20" s="2173" t="str">
        <f t="shared" si="0"/>
        <v/>
      </c>
      <c r="D20" s="2174" t="str">
        <f>IF('84 8 Nachweis'!O22="","",'84 8 Nachweis'!O22)</f>
        <v/>
      </c>
      <c r="E20" s="2174" t="str">
        <f>IF('84 8 Nachweis'!P22="","",'84 8 Nachweis'!P22)</f>
        <v/>
      </c>
      <c r="F20" s="2175" t="str">
        <f t="shared" si="1"/>
        <v/>
      </c>
      <c r="G20" s="2176" t="str">
        <f>IF('84 8 Nachweis'!H22="","",IF(B20="","",(C20/B20-'84 8 Nachweis'!H22/'84 8 Nachweis'!G22)/('84 8 Nachweis'!H22/'84 8 Nachweis'!G22)))</f>
        <v/>
      </c>
      <c r="H20" s="2156"/>
      <c r="I20" s="2177" t="str">
        <f t="shared" si="2"/>
        <v/>
      </c>
      <c r="J20" s="2178"/>
      <c r="K20" s="4884" t="str">
        <f>IF('84 8 Nachweis'!M22="","",IF('84 8 Nachweis'!E22="","",'84 8 Nachweis'!E22))</f>
        <v/>
      </c>
      <c r="L20" s="4885"/>
      <c r="M20" s="2118"/>
      <c r="N20" s="2190">
        <v>25</v>
      </c>
      <c r="O20" s="2184">
        <v>2010</v>
      </c>
      <c r="P20" s="2185"/>
      <c r="Q20" s="2186" t="s">
        <v>808</v>
      </c>
      <c r="R20" s="2187">
        <f>((100*12*25)/2)+((103.5*12*25)/2)</f>
        <v>30525</v>
      </c>
      <c r="S20" s="2186" t="s">
        <v>1169</v>
      </c>
      <c r="T20" s="2188">
        <f t="shared" ref="T20:T25" si="3">P20*R20</f>
        <v>0</v>
      </c>
      <c r="U20" s="2180"/>
      <c r="W20" s="2121" t="s">
        <v>1173</v>
      </c>
      <c r="Z20" s="2121" t="s">
        <v>1174</v>
      </c>
    </row>
    <row r="21" spans="1:26" s="2121" customFormat="1">
      <c r="A21" s="2164">
        <v>12</v>
      </c>
      <c r="B21" s="2172" t="str">
        <f>IF('84 8 Nachweis'!M23="","",'84 8 Nachweis'!M23)</f>
        <v/>
      </c>
      <c r="C21" s="2173" t="str">
        <f t="shared" si="0"/>
        <v/>
      </c>
      <c r="D21" s="2174" t="str">
        <f>IF('84 8 Nachweis'!O23="","",'84 8 Nachweis'!O23)</f>
        <v/>
      </c>
      <c r="E21" s="2174" t="str">
        <f>IF('84 8 Nachweis'!P23="","",'84 8 Nachweis'!P23)</f>
        <v/>
      </c>
      <c r="F21" s="2175" t="str">
        <f t="shared" si="1"/>
        <v/>
      </c>
      <c r="G21" s="2176" t="str">
        <f>IF('84 8 Nachweis'!H23="","",IF(B21="","",(C21/B21-'84 8 Nachweis'!H23/'84 8 Nachweis'!G23)/('84 8 Nachweis'!H23/'84 8 Nachweis'!G23)))</f>
        <v/>
      </c>
      <c r="H21" s="2156"/>
      <c r="I21" s="2177" t="str">
        <f t="shared" si="2"/>
        <v/>
      </c>
      <c r="J21" s="2178"/>
      <c r="K21" s="4884" t="str">
        <f>IF('84 8 Nachweis'!M23="","",IF('84 8 Nachweis'!E23="","",'84 8 Nachweis'!E23))</f>
        <v/>
      </c>
      <c r="L21" s="4885"/>
      <c r="M21" s="2118"/>
      <c r="N21" s="2190">
        <v>25</v>
      </c>
      <c r="O21" s="2184">
        <v>2011</v>
      </c>
      <c r="P21" s="2185"/>
      <c r="Q21" s="2186" t="s">
        <v>808</v>
      </c>
      <c r="R21" s="2187">
        <f>103.5*12*25</f>
        <v>31050</v>
      </c>
      <c r="S21" s="2186" t="s">
        <v>1169</v>
      </c>
      <c r="T21" s="2188">
        <f t="shared" si="3"/>
        <v>0</v>
      </c>
      <c r="U21" s="2180"/>
    </row>
    <row r="22" spans="1:26" s="2121" customFormat="1">
      <c r="A22" s="2164">
        <v>13</v>
      </c>
      <c r="B22" s="2172" t="str">
        <f>IF('84 8 Nachweis'!M24="","",'84 8 Nachweis'!M24)</f>
        <v/>
      </c>
      <c r="C22" s="2173" t="str">
        <f t="shared" si="0"/>
        <v/>
      </c>
      <c r="D22" s="2174" t="str">
        <f>IF('84 8 Nachweis'!O24="","",'84 8 Nachweis'!O24)</f>
        <v/>
      </c>
      <c r="E22" s="2174" t="str">
        <f>IF('84 8 Nachweis'!P24="","",'84 8 Nachweis'!P24)</f>
        <v/>
      </c>
      <c r="F22" s="2175" t="str">
        <f t="shared" si="1"/>
        <v/>
      </c>
      <c r="G22" s="2176" t="str">
        <f>IF('84 8 Nachweis'!H24="","",IF(B22="","",(C22/B22-'84 8 Nachweis'!H24/'84 8 Nachweis'!G24)/('84 8 Nachweis'!H24/'84 8 Nachweis'!G24)))</f>
        <v/>
      </c>
      <c r="H22" s="2156"/>
      <c r="I22" s="2177" t="str">
        <f t="shared" si="2"/>
        <v/>
      </c>
      <c r="J22" s="2178"/>
      <c r="K22" s="4884" t="str">
        <f>IF('84 8 Nachweis'!M24="","",IF('84 8 Nachweis'!E24="","",'84 8 Nachweis'!E24))</f>
        <v/>
      </c>
      <c r="L22" s="4885"/>
      <c r="M22" s="2118"/>
      <c r="N22" s="2190">
        <v>25</v>
      </c>
      <c r="O22" s="2184">
        <v>2012</v>
      </c>
      <c r="P22" s="2185"/>
      <c r="Q22" s="2186" t="s">
        <v>808</v>
      </c>
      <c r="R22" s="2187">
        <f>109*12*25</f>
        <v>32700</v>
      </c>
      <c r="S22" s="2186" t="s">
        <v>1169</v>
      </c>
      <c r="T22" s="2188">
        <f t="shared" si="3"/>
        <v>0</v>
      </c>
      <c r="U22" s="2180"/>
      <c r="W22" s="2121" t="s">
        <v>1175</v>
      </c>
      <c r="Z22" s="2121" t="s">
        <v>1176</v>
      </c>
    </row>
    <row r="23" spans="1:26" s="2121" customFormat="1">
      <c r="A23" s="2164">
        <v>14</v>
      </c>
      <c r="B23" s="2172" t="str">
        <f>IF('84 8 Nachweis'!M25="","",'84 8 Nachweis'!M25)</f>
        <v/>
      </c>
      <c r="C23" s="2173" t="str">
        <f t="shared" si="0"/>
        <v/>
      </c>
      <c r="D23" s="2174" t="str">
        <f>IF('84 8 Nachweis'!O25="","",'84 8 Nachweis'!O25)</f>
        <v/>
      </c>
      <c r="E23" s="2174" t="str">
        <f>IF('84 8 Nachweis'!P25="","",'84 8 Nachweis'!P25)</f>
        <v/>
      </c>
      <c r="F23" s="2175" t="str">
        <f t="shared" si="1"/>
        <v/>
      </c>
      <c r="G23" s="2176" t="str">
        <f>IF('84 8 Nachweis'!H25="","",IF(B23="","",(C23/B23-'84 8 Nachweis'!H25/'84 8 Nachweis'!G25)/('84 8 Nachweis'!H25/'84 8 Nachweis'!G25)))</f>
        <v/>
      </c>
      <c r="H23" s="2156"/>
      <c r="I23" s="2177" t="str">
        <f t="shared" si="2"/>
        <v/>
      </c>
      <c r="J23" s="2178"/>
      <c r="K23" s="4884" t="str">
        <f>IF('84 8 Nachweis'!M25="","",IF('84 8 Nachweis'!E25="","",'84 8 Nachweis'!E25))</f>
        <v/>
      </c>
      <c r="L23" s="4885"/>
      <c r="M23" s="2118"/>
      <c r="N23" s="2190">
        <v>24</v>
      </c>
      <c r="O23" s="2184">
        <v>2013</v>
      </c>
      <c r="P23" s="2185"/>
      <c r="Q23" s="2186" t="s">
        <v>808</v>
      </c>
      <c r="R23" s="2187">
        <f>ROUNDUP(113.5*12*24,-2)</f>
        <v>32700</v>
      </c>
      <c r="S23" s="2186" t="s">
        <v>1169</v>
      </c>
      <c r="T23" s="2188">
        <f t="shared" si="3"/>
        <v>0</v>
      </c>
      <c r="U23" s="2180"/>
      <c r="W23" s="2121" t="s">
        <v>1177</v>
      </c>
      <c r="Z23" s="2121" t="s">
        <v>1178</v>
      </c>
    </row>
    <row r="24" spans="1:26" s="2121" customFormat="1">
      <c r="A24" s="2164">
        <v>15</v>
      </c>
      <c r="B24" s="2172" t="str">
        <f>IF('84 8 Nachweis'!M26="","",'84 8 Nachweis'!M26)</f>
        <v/>
      </c>
      <c r="C24" s="2173" t="str">
        <f t="shared" si="0"/>
        <v/>
      </c>
      <c r="D24" s="2174" t="str">
        <f>IF('84 8 Nachweis'!O26="","",'84 8 Nachweis'!O26)</f>
        <v/>
      </c>
      <c r="E24" s="2174" t="str">
        <f>IF('84 8 Nachweis'!P26="","",'84 8 Nachweis'!P26)</f>
        <v/>
      </c>
      <c r="F24" s="2175" t="str">
        <f t="shared" si="1"/>
        <v/>
      </c>
      <c r="G24" s="2176" t="str">
        <f>IF('84 8 Nachweis'!H26="","",IF(B24="","",(C24/B24-'84 8 Nachweis'!H26/'84 8 Nachweis'!G26)/('84 8 Nachweis'!H26/'84 8 Nachweis'!G26)))</f>
        <v/>
      </c>
      <c r="H24" s="2156"/>
      <c r="I24" s="2177" t="str">
        <f t="shared" si="2"/>
        <v/>
      </c>
      <c r="J24" s="2178"/>
      <c r="K24" s="4884" t="str">
        <f>IF('84 8 Nachweis'!M26="","",IF('84 8 Nachweis'!E26="","",'84 8 Nachweis'!E26))</f>
        <v/>
      </c>
      <c r="L24" s="4885"/>
      <c r="M24" s="2118"/>
      <c r="N24" s="2190">
        <v>24</v>
      </c>
      <c r="O24" s="2184">
        <v>2014</v>
      </c>
      <c r="P24" s="2185"/>
      <c r="Q24" s="2186" t="s">
        <v>808</v>
      </c>
      <c r="R24" s="2187">
        <f>ROUNDUP(((113.5*12*24)/2)+((117*12*24)/2),-2)</f>
        <v>33200</v>
      </c>
      <c r="S24" s="2186" t="s">
        <v>1169</v>
      </c>
      <c r="T24" s="2191">
        <f>P24*R24</f>
        <v>0</v>
      </c>
      <c r="U24" s="2180"/>
      <c r="W24" s="2121" t="s">
        <v>1179</v>
      </c>
      <c r="Z24" s="2192" t="s">
        <v>1180</v>
      </c>
    </row>
    <row r="25" spans="1:26" s="2121" customFormat="1">
      <c r="A25" s="2164">
        <v>16</v>
      </c>
      <c r="B25" s="2172" t="str">
        <f>IF('84 8 Nachweis'!M27="","",'84 8 Nachweis'!M27)</f>
        <v/>
      </c>
      <c r="C25" s="2173" t="str">
        <f t="shared" si="0"/>
        <v/>
      </c>
      <c r="D25" s="2174" t="str">
        <f>IF('84 8 Nachweis'!O27="","",'84 8 Nachweis'!O27)</f>
        <v/>
      </c>
      <c r="E25" s="2174" t="str">
        <f>IF('84 8 Nachweis'!P27="","",'84 8 Nachweis'!P27)</f>
        <v/>
      </c>
      <c r="F25" s="2175" t="str">
        <f t="shared" si="1"/>
        <v/>
      </c>
      <c r="G25" s="2176" t="str">
        <f>IF('84 8 Nachweis'!H27="","",IF(B25="","",(C25/B25-'84 8 Nachweis'!H27/'84 8 Nachweis'!G27)/('84 8 Nachweis'!H27/'84 8 Nachweis'!G27)))</f>
        <v/>
      </c>
      <c r="H25" s="2156"/>
      <c r="I25" s="2177" t="str">
        <f t="shared" si="2"/>
        <v/>
      </c>
      <c r="J25" s="2178"/>
      <c r="K25" s="4884" t="str">
        <f>IF('84 8 Nachweis'!M27="","",IF('84 8 Nachweis'!E27="","",'84 8 Nachweis'!E27))</f>
        <v/>
      </c>
      <c r="L25" s="4885"/>
      <c r="M25" s="2118"/>
      <c r="N25" s="2190">
        <v>20</v>
      </c>
      <c r="O25" s="2184">
        <v>2015</v>
      </c>
      <c r="P25" s="2185"/>
      <c r="Q25" s="2186" t="s">
        <v>808</v>
      </c>
      <c r="R25" s="2193"/>
      <c r="S25" s="2186" t="s">
        <v>1169</v>
      </c>
      <c r="T25" s="2194">
        <f t="shared" si="3"/>
        <v>0</v>
      </c>
      <c r="U25" s="2180"/>
      <c r="W25" s="2121" t="s">
        <v>1181</v>
      </c>
      <c r="Z25" s="2121" t="s">
        <v>1182</v>
      </c>
    </row>
    <row r="26" spans="1:26" s="2121" customFormat="1" ht="13.5" thickBot="1">
      <c r="A26" s="2164">
        <v>17</v>
      </c>
      <c r="B26" s="2172" t="str">
        <f>IF('84 8 Nachweis'!M28="","",'84 8 Nachweis'!M28)</f>
        <v/>
      </c>
      <c r="C26" s="2173" t="str">
        <f t="shared" si="0"/>
        <v/>
      </c>
      <c r="D26" s="2174" t="str">
        <f>IF('84 8 Nachweis'!O28="","",'84 8 Nachweis'!O28)</f>
        <v/>
      </c>
      <c r="E26" s="2174" t="str">
        <f>IF('84 8 Nachweis'!P28="","",'84 8 Nachweis'!P28)</f>
        <v/>
      </c>
      <c r="F26" s="2175" t="str">
        <f t="shared" si="1"/>
        <v/>
      </c>
      <c r="G26" s="2176" t="str">
        <f>IF('84 8 Nachweis'!H28="","",IF(B26="","",(C26/B26-'84 8 Nachweis'!H28/'84 8 Nachweis'!G28)/('84 8 Nachweis'!H28/'84 8 Nachweis'!G28)))</f>
        <v/>
      </c>
      <c r="H26" s="2156"/>
      <c r="I26" s="2177" t="str">
        <f t="shared" si="2"/>
        <v/>
      </c>
      <c r="J26" s="2178"/>
      <c r="K26" s="4884" t="str">
        <f>IF('84 8 Nachweis'!M28="","",IF('84 8 Nachweis'!E28="","",'84 8 Nachweis'!E28))</f>
        <v/>
      </c>
      <c r="L26" s="4885"/>
      <c r="M26" s="2118"/>
      <c r="N26" s="2124"/>
      <c r="O26" s="2156"/>
      <c r="P26" s="4904" t="s">
        <v>1183</v>
      </c>
      <c r="Q26" s="4904"/>
      <c r="R26" s="4904"/>
      <c r="S26" s="4904"/>
      <c r="T26" s="2195">
        <f>SUM(T19:T25)</f>
        <v>0</v>
      </c>
      <c r="U26" s="2180"/>
    </row>
    <row r="27" spans="1:26" s="2121" customFormat="1" ht="13.5" thickTop="1">
      <c r="A27" s="2164">
        <v>18</v>
      </c>
      <c r="B27" s="2172" t="str">
        <f>IF('84 8 Nachweis'!M29="","",'84 8 Nachweis'!M29)</f>
        <v/>
      </c>
      <c r="C27" s="2173" t="str">
        <f t="shared" si="0"/>
        <v/>
      </c>
      <c r="D27" s="2174" t="str">
        <f>IF('84 8 Nachweis'!O29="","",'84 8 Nachweis'!O29)</f>
        <v/>
      </c>
      <c r="E27" s="2174" t="str">
        <f>IF('84 8 Nachweis'!P29="","",'84 8 Nachweis'!P29)</f>
        <v/>
      </c>
      <c r="F27" s="2175" t="str">
        <f t="shared" si="1"/>
        <v/>
      </c>
      <c r="G27" s="2176" t="str">
        <f>IF('84 8 Nachweis'!H29="","",IF(B27="","",(C27/B27-'84 8 Nachweis'!H29/'84 8 Nachweis'!G29)/('84 8 Nachweis'!H29/'84 8 Nachweis'!G29)))</f>
        <v/>
      </c>
      <c r="H27" s="2156"/>
      <c r="I27" s="2177" t="str">
        <f t="shared" si="2"/>
        <v/>
      </c>
      <c r="J27" s="2178"/>
      <c r="K27" s="4884" t="str">
        <f>IF('84 8 Nachweis'!M29="","",IF('84 8 Nachweis'!E29="","",'84 8 Nachweis'!E29))</f>
        <v/>
      </c>
      <c r="L27" s="4885"/>
      <c r="M27" s="2118"/>
      <c r="N27" s="2124"/>
      <c r="O27" s="2156"/>
      <c r="P27" s="4900" t="s">
        <v>1184</v>
      </c>
      <c r="Q27" s="4900"/>
      <c r="R27" s="4900"/>
      <c r="S27" s="2156"/>
      <c r="T27" s="2156"/>
      <c r="U27" s="2180"/>
    </row>
    <row r="28" spans="1:26" s="2121" customFormat="1" ht="13.5" thickBot="1">
      <c r="A28" s="2164">
        <v>19</v>
      </c>
      <c r="B28" s="2172" t="str">
        <f>IF('84 8 Nachweis'!M30="","",'84 8 Nachweis'!M30)</f>
        <v/>
      </c>
      <c r="C28" s="2173" t="str">
        <f t="shared" si="0"/>
        <v/>
      </c>
      <c r="D28" s="2174" t="str">
        <f>IF('84 8 Nachweis'!O30="","",'84 8 Nachweis'!O30)</f>
        <v/>
      </c>
      <c r="E28" s="2174" t="str">
        <f>IF('84 8 Nachweis'!P30="","",'84 8 Nachweis'!P30)</f>
        <v/>
      </c>
      <c r="F28" s="2175" t="str">
        <f t="shared" si="1"/>
        <v/>
      </c>
      <c r="G28" s="2176" t="str">
        <f>IF('84 8 Nachweis'!H30="","",IF(B28="","",(C28/B28-'84 8 Nachweis'!H30/'84 8 Nachweis'!G30)/('84 8 Nachweis'!H30/'84 8 Nachweis'!G30)))</f>
        <v/>
      </c>
      <c r="H28" s="2156"/>
      <c r="I28" s="2196" t="str">
        <f t="shared" si="2"/>
        <v/>
      </c>
      <c r="J28" s="2178"/>
      <c r="K28" s="4884" t="str">
        <f>IF('84 8 Nachweis'!M30="","",IF('84 8 Nachweis'!E30="","",'84 8 Nachweis'!E30))</f>
        <v/>
      </c>
      <c r="L28" s="4885"/>
      <c r="M28" s="2118"/>
      <c r="N28" s="2130"/>
      <c r="O28" s="2131"/>
      <c r="P28" s="2131"/>
      <c r="Q28" s="2131"/>
      <c r="R28" s="2131"/>
      <c r="S28" s="2131"/>
      <c r="T28" s="2131"/>
      <c r="U28" s="2197"/>
    </row>
    <row r="29" spans="1:26" s="2121" customFormat="1" ht="13.5" thickBot="1">
      <c r="A29" s="2164">
        <v>20</v>
      </c>
      <c r="B29" s="2198" t="str">
        <f>IF('84 8 Nachweis'!M31="","",'84 8 Nachweis'!M31)</f>
        <v/>
      </c>
      <c r="C29" s="2199" t="str">
        <f t="shared" si="0"/>
        <v/>
      </c>
      <c r="D29" s="2200" t="str">
        <f>IF('84 8 Nachweis'!O31="","",'84 8 Nachweis'!O31)</f>
        <v/>
      </c>
      <c r="E29" s="2200" t="str">
        <f>IF('84 8 Nachweis'!P31="","",'84 8 Nachweis'!P31)</f>
        <v/>
      </c>
      <c r="F29" s="2201" t="str">
        <f t="shared" si="1"/>
        <v/>
      </c>
      <c r="G29" s="2202" t="str">
        <f>IF('84 8 Nachweis'!H31="","",IF(B29="","",(C29/B29-'84 8 Nachweis'!H31/'84 8 Nachweis'!G31)/('84 8 Nachweis'!H31/'84 8 Nachweis'!G31)))</f>
        <v/>
      </c>
      <c r="H29" s="2156"/>
      <c r="I29" s="2203" t="str">
        <f>IF(J29="","",J29-D29)</f>
        <v/>
      </c>
      <c r="J29" s="2204"/>
      <c r="K29" s="4905" t="str">
        <f>IF('84 8 Nachweis'!M31="","",IF('84 8 Nachweis'!E31="","",'84 8 Nachweis'!E31))</f>
        <v/>
      </c>
      <c r="L29" s="4906"/>
      <c r="M29" s="2118"/>
      <c r="N29" s="2118"/>
      <c r="O29" s="2118"/>
      <c r="P29" s="2118"/>
      <c r="Q29" s="2118"/>
      <c r="R29" s="2118"/>
      <c r="S29" s="2118"/>
      <c r="T29" s="2118"/>
    </row>
    <row r="30" spans="1:26" s="2121" customFormat="1" ht="15.75">
      <c r="A30" s="2124"/>
      <c r="B30" s="2205" t="str">
        <f>IF(SUM(B10:B29)=0,"",SUM(B10:B29))</f>
        <v/>
      </c>
      <c r="C30" s="2206" t="str">
        <f>IF(SUM(C10:C29)=0,"",SUM(C10:C29))</f>
        <v/>
      </c>
      <c r="D30" s="2207"/>
      <c r="E30" s="2208">
        <f>SUM(E10:E29)</f>
        <v>0</v>
      </c>
      <c r="F30" s="2208" t="str">
        <f>IF(SUM(F10:F29)=0,"",SUM(F10:F29))</f>
        <v/>
      </c>
      <c r="G30" s="2209"/>
      <c r="H30" s="2156"/>
      <c r="I30" s="2156"/>
      <c r="J30" s="2156"/>
      <c r="K30" s="2156"/>
      <c r="L30" s="2152"/>
      <c r="M30" s="2118"/>
      <c r="N30" s="2118"/>
      <c r="O30" s="2118"/>
      <c r="P30" s="2118"/>
      <c r="Q30" s="2118"/>
      <c r="R30" s="2118"/>
      <c r="S30" s="2118"/>
      <c r="T30" s="2118"/>
    </row>
    <row r="31" spans="1:26" s="2121" customFormat="1" ht="13.5" thickBot="1">
      <c r="A31" s="2124"/>
      <c r="B31" s="2210"/>
      <c r="C31" s="2211" t="str">
        <f>IF(B30="","",ROUND(C30/B30,2))</f>
        <v/>
      </c>
      <c r="D31" s="2212"/>
      <c r="E31" s="2213"/>
      <c r="F31" s="2214" t="str">
        <f>IF(B30="","",ROUND(F30/B30,2))</f>
        <v/>
      </c>
      <c r="G31" s="2215"/>
      <c r="H31" s="2156"/>
      <c r="I31" s="2179"/>
      <c r="J31" s="2179"/>
      <c r="K31" s="2179"/>
      <c r="L31" s="2180"/>
      <c r="M31" s="2118"/>
      <c r="N31" s="2118"/>
      <c r="O31" s="2118"/>
      <c r="P31" s="2118"/>
      <c r="Q31" s="2118"/>
      <c r="R31" s="2118"/>
      <c r="S31" s="2118"/>
      <c r="T31" s="2118"/>
    </row>
    <row r="32" spans="1:26" s="2121" customFormat="1" ht="16.5" customHeight="1" thickBot="1">
      <c r="A32" s="2124"/>
      <c r="B32" s="4892" t="s">
        <v>1093</v>
      </c>
      <c r="C32" s="4893"/>
      <c r="D32" s="4893"/>
      <c r="E32" s="4893"/>
      <c r="F32" s="4893"/>
      <c r="G32" s="2216" t="s">
        <v>1185</v>
      </c>
      <c r="H32" s="2179"/>
      <c r="I32" s="2217" t="s">
        <v>1530</v>
      </c>
      <c r="J32" s="2218"/>
      <c r="K32" s="2218"/>
      <c r="L32" s="2219"/>
      <c r="M32" s="2118"/>
      <c r="R32" s="2118"/>
      <c r="S32" s="2118"/>
      <c r="T32" s="2118"/>
    </row>
    <row r="33" spans="1:21" s="2121" customFormat="1" ht="12.75" customHeight="1">
      <c r="A33" s="2124"/>
      <c r="B33" s="2220" t="str">
        <f>IF('84 8 Nachweis'!L35="","",'84 8 Nachweis'!L35)</f>
        <v>Sonstige Kosten</v>
      </c>
      <c r="C33" s="2221"/>
      <c r="D33" s="2221"/>
      <c r="E33" s="2222"/>
      <c r="F33" s="2223">
        <f>IF(B33="","",IF(G33="",'84 8 Nachweis'!Q35,(G33/100)*C30))</f>
        <v>0</v>
      </c>
      <c r="G33" s="2224"/>
      <c r="H33" s="2179"/>
      <c r="I33" s="4907" t="s">
        <v>1186</v>
      </c>
      <c r="J33" s="4908"/>
      <c r="K33" s="4908"/>
      <c r="L33" s="4909"/>
      <c r="M33" s="2118"/>
    </row>
    <row r="34" spans="1:21" s="2121" customFormat="1">
      <c r="A34" s="2124"/>
      <c r="B34" s="2220" t="str">
        <f>IF('84 8 Nachweis'!L36="","",'84 8 Nachweis'!L36)</f>
        <v/>
      </c>
      <c r="C34" s="2225"/>
      <c r="D34" s="2225"/>
      <c r="E34" s="2226"/>
      <c r="F34" s="2223" t="str">
        <f>IF(B34="","",IF(G34="",'84 8 Nachweis'!Q36,(G34/100)*C31))</f>
        <v/>
      </c>
      <c r="G34" s="2227"/>
      <c r="H34" s="2179"/>
      <c r="I34" s="4910"/>
      <c r="J34" s="4908"/>
      <c r="K34" s="4908"/>
      <c r="L34" s="4909"/>
      <c r="M34" s="2118"/>
    </row>
    <row r="35" spans="1:21" s="2121" customFormat="1">
      <c r="A35" s="2124"/>
      <c r="B35" s="2220" t="str">
        <f>IF('84 8 Nachweis'!L37="","",'84 8 Nachweis'!L37)</f>
        <v/>
      </c>
      <c r="C35" s="2225"/>
      <c r="D35" s="2225"/>
      <c r="E35" s="2226"/>
      <c r="F35" s="2223" t="str">
        <f>IF(B35="","",IF(G35="",'84 8 Nachweis'!Q37,(G35/100)*C32))</f>
        <v/>
      </c>
      <c r="G35" s="2227"/>
      <c r="H35" s="2179"/>
      <c r="I35" s="4910"/>
      <c r="J35" s="4908"/>
      <c r="K35" s="4908"/>
      <c r="L35" s="4909"/>
      <c r="M35" s="2118"/>
    </row>
    <row r="36" spans="1:21" s="2121" customFormat="1">
      <c r="A36" s="2124"/>
      <c r="B36" s="2228" t="str">
        <f>IF('84 8 Nachweis'!L38="","",'84 8 Nachweis'!L38)</f>
        <v/>
      </c>
      <c r="C36" s="2229"/>
      <c r="D36" s="2229"/>
      <c r="E36" s="2230"/>
      <c r="F36" s="2231" t="str">
        <f>IF(B36="","",IF(G36="",'84 8 Nachweis'!Q38,(G36/100)*C33))</f>
        <v/>
      </c>
      <c r="G36" s="2227"/>
      <c r="H36" s="2179"/>
      <c r="I36" s="4910"/>
      <c r="J36" s="4908"/>
      <c r="K36" s="4908"/>
      <c r="L36" s="4909"/>
      <c r="M36" s="2118"/>
    </row>
    <row r="37" spans="1:21" s="2121" customFormat="1">
      <c r="A37" s="2124"/>
      <c r="B37" s="4914" t="s">
        <v>1137</v>
      </c>
      <c r="C37" s="4915"/>
      <c r="D37" s="4915"/>
      <c r="E37" s="2232"/>
      <c r="F37" s="2233">
        <f>SUM(F33:F36)</f>
        <v>0</v>
      </c>
      <c r="G37" s="2234" t="str">
        <f>IF('84 8 Nachweis'!R39="","",'84 8 Nachweis'!R39)</f>
        <v/>
      </c>
      <c r="H37" s="2179"/>
      <c r="I37" s="4910"/>
      <c r="J37" s="4908"/>
      <c r="K37" s="4908"/>
      <c r="L37" s="4909"/>
      <c r="M37" s="2118"/>
    </row>
    <row r="38" spans="1:21" s="2121" customFormat="1" ht="13.5" thickBot="1">
      <c r="A38" s="2124"/>
      <c r="B38" s="2235"/>
      <c r="C38" s="2236"/>
      <c r="D38" s="2236"/>
      <c r="E38" s="2237"/>
      <c r="F38" s="2238"/>
      <c r="G38" s="2239" t="str">
        <f>IF('84 8 Nachweis'!R40="","",'84 8 Nachweis'!R40)</f>
        <v/>
      </c>
      <c r="H38" s="2179"/>
      <c r="I38" s="4911"/>
      <c r="J38" s="4912"/>
      <c r="K38" s="4912"/>
      <c r="L38" s="4913"/>
      <c r="M38" s="2118"/>
    </row>
    <row r="39" spans="1:21" s="2121" customFormat="1" ht="16.5" thickBot="1">
      <c r="A39" s="2124"/>
      <c r="B39" s="4902" t="s">
        <v>1138</v>
      </c>
      <c r="C39" s="4903"/>
      <c r="D39" s="4903"/>
      <c r="E39" s="2240"/>
      <c r="F39" s="2241" t="e">
        <f>+F37+F30</f>
        <v>#VALUE!</v>
      </c>
      <c r="G39" s="2242" t="str">
        <f>IF('84 8 Nachweis'!R41="","",'84 8 Nachweis'!R41)</f>
        <v/>
      </c>
      <c r="H39" s="2179"/>
      <c r="I39" s="2179"/>
      <c r="J39" s="2179"/>
      <c r="K39" s="2179"/>
      <c r="L39" s="2180"/>
      <c r="M39" s="2118"/>
    </row>
    <row r="40" spans="1:21" ht="13.5" thickBot="1">
      <c r="A40" s="2124"/>
      <c r="B40" s="2124"/>
      <c r="C40" s="2156"/>
      <c r="D40" s="2156"/>
      <c r="E40" s="2156"/>
      <c r="F40" s="2156"/>
      <c r="G40" s="2152"/>
      <c r="H40" s="2156"/>
      <c r="I40" s="2156"/>
      <c r="J40" s="2156"/>
      <c r="K40" s="2156"/>
      <c r="L40" s="2152"/>
      <c r="N40" s="2121"/>
      <c r="O40" s="2121"/>
      <c r="R40" s="2121"/>
      <c r="S40" s="2121"/>
      <c r="T40" s="2121"/>
      <c r="U40" s="2121"/>
    </row>
    <row r="41" spans="1:21" ht="21.75" thickBot="1">
      <c r="A41" s="2124"/>
      <c r="B41" s="4916" t="s">
        <v>1099</v>
      </c>
      <c r="C41" s="4917"/>
      <c r="D41" s="4917"/>
      <c r="E41" s="4917"/>
      <c r="F41" s="4917"/>
      <c r="G41" s="4918"/>
      <c r="H41" s="2156"/>
      <c r="I41" s="4916" t="s">
        <v>1187</v>
      </c>
      <c r="J41" s="4917"/>
      <c r="K41" s="4917"/>
      <c r="L41" s="4918"/>
      <c r="P41" s="2118"/>
      <c r="Q41" s="2118"/>
    </row>
    <row r="42" spans="1:21" ht="16.5" customHeight="1">
      <c r="A42" s="2124"/>
      <c r="B42" s="4919" t="s">
        <v>881</v>
      </c>
      <c r="C42" s="4920"/>
      <c r="D42" s="4921">
        <f>'84 8 Übersicht'!C40</f>
        <v>0</v>
      </c>
      <c r="E42" s="4921"/>
      <c r="F42" s="4922" t="e">
        <f>IF(D42="","","Veränderungsrate:   "&amp;TEXT('84 8 Übersicht'!D41/('84 8 Übersicht'!C40)-1,"0,00 %"))</f>
        <v>#VALUE!</v>
      </c>
      <c r="G42" s="4923"/>
      <c r="H42" s="2156"/>
      <c r="I42" s="2243" t="e">
        <f>'84 8 Übersicht'!G27</f>
        <v>#VALUE!</v>
      </c>
      <c r="J42" s="4924">
        <f>'84 8 Übersicht'!C40</f>
        <v>0</v>
      </c>
      <c r="K42" s="4925"/>
      <c r="L42" s="2244" t="s">
        <v>1091</v>
      </c>
      <c r="P42" s="2118"/>
      <c r="Q42" s="2118"/>
    </row>
    <row r="43" spans="1:21" ht="15.75">
      <c r="A43" s="2124"/>
      <c r="B43" s="2245" t="s">
        <v>1448</v>
      </c>
      <c r="C43" s="2246"/>
      <c r="D43" s="2246"/>
      <c r="E43" s="2247"/>
      <c r="F43" s="4931" t="str">
        <f>IF(SUM(B10:B29)=0,"",IF(F44="",ROUND('84 8 Übersicht'!D37/'84 8 Übersicht'!D20,2),ROUND('84 8 Übersicht'!D37/'84 8 Übersicht'!D20,2)))</f>
        <v/>
      </c>
      <c r="G43" s="4932"/>
      <c r="H43" s="2248" t="str">
        <f>'84 8 Übersicht'!D17</f>
        <v>nein</v>
      </c>
      <c r="I43" s="2249" t="str">
        <f>IF(SUM('84 8 Nachweis'!M12:M31)=0,"",ROUND('84 8 Übersicht'!D30/'84 8 Übersicht'!D20,2))</f>
        <v/>
      </c>
      <c r="J43" s="4933" t="s">
        <v>1450</v>
      </c>
      <c r="K43" s="4934"/>
      <c r="L43" s="4935"/>
      <c r="P43" s="2118"/>
      <c r="Q43" s="2118"/>
    </row>
    <row r="44" spans="1:21" ht="15.75">
      <c r="A44" s="2124"/>
      <c r="B44" s="4936" t="str">
        <f>IF(G6="","",IF(I6&lt;0,"Abzugsbetrag bei Verfahren nach § 115 (3a) SGB XI","Vereinbarter Zuschlagsbetrag"))</f>
        <v/>
      </c>
      <c r="C44" s="4937"/>
      <c r="D44" s="4937"/>
      <c r="E44" s="4937"/>
      <c r="F44" s="4938" t="str">
        <f>IF(OR('84 8 Übersicht'!D17="ja",G6=""),"",ROUND(I6/'84 8 Übersicht'!D20,2))</f>
        <v/>
      </c>
      <c r="G44" s="4939"/>
      <c r="H44" s="2156"/>
      <c r="I44" s="2250"/>
      <c r="J44" s="2156"/>
      <c r="K44" s="2156"/>
      <c r="L44" s="2152"/>
      <c r="P44" s="2118"/>
      <c r="Q44" s="2118"/>
    </row>
    <row r="45" spans="1:21" ht="16.5" thickBot="1">
      <c r="A45" s="2124"/>
      <c r="B45" s="4940" t="str">
        <f>IF(G6="","","Neu ermittelter Vergütungszuschlag § 84 (8) SGB XI/Monat")</f>
        <v/>
      </c>
      <c r="C45" s="4941"/>
      <c r="D45" s="4941"/>
      <c r="E45" s="4942"/>
      <c r="F45" s="4943" t="str">
        <f>IF(G6="","",IF(F44="","",F43+F44))</f>
        <v/>
      </c>
      <c r="G45" s="4944"/>
      <c r="H45" s="2156"/>
      <c r="I45" s="2251" t="e">
        <f>'84 8 Übersicht'!G29</f>
        <v>#VALUE!</v>
      </c>
      <c r="J45" s="4945" t="str">
        <f>'84 8 Übersicht'!H29</f>
        <v/>
      </c>
      <c r="K45" s="4946"/>
      <c r="L45" s="2252" t="s">
        <v>1094</v>
      </c>
      <c r="P45" s="2118"/>
      <c r="Q45" s="2118"/>
    </row>
    <row r="46" spans="1:21" ht="16.5" thickBot="1">
      <c r="A46" s="2124"/>
      <c r="B46" s="4954" t="s">
        <v>882</v>
      </c>
      <c r="C46" s="4955"/>
      <c r="D46" s="4956" t="str">
        <f>J45</f>
        <v/>
      </c>
      <c r="E46" s="4956"/>
      <c r="F46" s="4957" t="e">
        <f>"Veränderungsrate:   "&amp;TEXT(F47/(D46)-1,"0,00 %")</f>
        <v>#VALUE!</v>
      </c>
      <c r="G46" s="4958"/>
      <c r="H46" s="2156"/>
      <c r="I46" s="2253" t="str">
        <f>IF(ISNUMBER('84 8 Übersicht'!G30),'84 8 Übersicht'!G30,"")</f>
        <v/>
      </c>
      <c r="J46" s="4926" t="s">
        <v>1451</v>
      </c>
      <c r="K46" s="4927"/>
      <c r="L46" s="4928"/>
      <c r="P46" s="2118"/>
      <c r="Q46" s="2118"/>
    </row>
    <row r="47" spans="1:21" ht="15.75">
      <c r="A47" s="2124"/>
      <c r="B47" s="4929" t="s">
        <v>1449</v>
      </c>
      <c r="C47" s="4930"/>
      <c r="D47" s="4930"/>
      <c r="E47" s="4930"/>
      <c r="F47" s="4931" t="str">
        <f>IF(AND('84 8 Übersicht'!$D$16&lt;=0,'84 8 Übersicht'!$D$17="nein"),"",F39/'84 8 Übersicht'!D19)</f>
        <v/>
      </c>
      <c r="G47" s="4932"/>
      <c r="H47" s="2156"/>
      <c r="I47" s="2156"/>
      <c r="J47" s="2156"/>
      <c r="K47" s="2156"/>
      <c r="L47" s="2152"/>
      <c r="P47" s="2118"/>
      <c r="Q47" s="2118"/>
    </row>
    <row r="48" spans="1:21" s="2256" customFormat="1" ht="15.75">
      <c r="A48" s="2124"/>
      <c r="B48" s="4929" t="str">
        <f>IF(G6="","",IF(I6&lt;0,"Abzugsbetrag bei Verfahren nach § 115 (3a) SGB XI","Vereinbarter Zuschlagsbetrag"))</f>
        <v/>
      </c>
      <c r="C48" s="4930"/>
      <c r="D48" s="4930"/>
      <c r="E48" s="4930"/>
      <c r="F48" s="4938" t="str">
        <f>IF(G6="","",IF(ISNUMBER(I6),I6/'84 8 Übersicht'!D19,""))</f>
        <v/>
      </c>
      <c r="G48" s="4939"/>
      <c r="H48" s="2156"/>
      <c r="I48" s="2156"/>
      <c r="J48" s="2156"/>
      <c r="K48" s="2254"/>
      <c r="L48" s="2255"/>
      <c r="N48" s="2118"/>
      <c r="O48" s="2118"/>
      <c r="P48" s="2118"/>
      <c r="Q48" s="2118"/>
      <c r="R48" s="2118"/>
      <c r="S48" s="2118"/>
      <c r="T48" s="2118"/>
      <c r="U48" s="2118"/>
    </row>
    <row r="49" spans="1:21" s="2257" customFormat="1" ht="16.5" thickBot="1">
      <c r="A49" s="2124"/>
      <c r="B49" s="4959" t="str">
        <f>IF(G6="","","Neu ermittelter Vergütungszuschlag § 84 (8) SGB XI/Tag")</f>
        <v/>
      </c>
      <c r="C49" s="4960"/>
      <c r="D49" s="4960"/>
      <c r="E49" s="4960"/>
      <c r="F49" s="4961" t="str">
        <f>IF(AND('84 8 Übersicht'!$D$16&lt;=0,'84 8 Übersicht'!$D$17="nein"),"",F47+F48)</f>
        <v/>
      </c>
      <c r="G49" s="4962"/>
      <c r="H49" s="2156"/>
      <c r="I49" s="2156"/>
      <c r="J49" s="2156"/>
      <c r="K49" s="2156"/>
      <c r="L49" s="2152"/>
      <c r="N49" s="2256"/>
      <c r="O49" s="2256"/>
      <c r="P49" s="2256"/>
      <c r="Q49" s="2256"/>
      <c r="R49" s="2256"/>
      <c r="S49" s="2256"/>
      <c r="T49" s="2256"/>
      <c r="U49" s="2256"/>
    </row>
    <row r="50" spans="1:21" s="2257" customFormat="1" ht="13.5" thickBot="1">
      <c r="A50" s="2124"/>
      <c r="B50" s="2156"/>
      <c r="C50" s="2156"/>
      <c r="D50" s="2156"/>
      <c r="E50" s="2156"/>
      <c r="F50" s="2156"/>
      <c r="G50" s="2156"/>
      <c r="H50" s="2156"/>
      <c r="I50" s="2156"/>
      <c r="J50" s="2156"/>
      <c r="K50" s="2156"/>
      <c r="L50" s="2152"/>
    </row>
    <row r="51" spans="1:21" s="2257" customFormat="1" ht="21.75" thickBot="1">
      <c r="A51" s="2124"/>
      <c r="B51" s="4963" t="s">
        <v>1100</v>
      </c>
      <c r="C51" s="4964"/>
      <c r="D51" s="4964"/>
      <c r="E51" s="4964"/>
      <c r="F51" s="4964"/>
      <c r="G51" s="4964"/>
      <c r="H51" s="4964"/>
      <c r="I51" s="4965"/>
      <c r="J51" s="2156"/>
      <c r="K51" s="2156"/>
      <c r="L51" s="2152"/>
    </row>
    <row r="52" spans="1:21" s="2257" customFormat="1" ht="13.5" thickBot="1">
      <c r="A52" s="2124"/>
      <c r="B52" s="2156"/>
      <c r="C52" s="2156"/>
      <c r="D52" s="2156"/>
      <c r="E52" s="2156"/>
      <c r="F52" s="2156"/>
      <c r="G52" s="2156"/>
      <c r="H52" s="2156"/>
      <c r="I52" s="2156"/>
      <c r="J52" s="2156"/>
      <c r="K52" s="2156"/>
      <c r="L52" s="2152"/>
    </row>
    <row r="53" spans="1:21" s="2257" customFormat="1" ht="15.75">
      <c r="A53" s="2124"/>
      <c r="B53" s="4947" t="s">
        <v>1101</v>
      </c>
      <c r="C53" s="4948"/>
      <c r="D53" s="4949"/>
      <c r="E53" s="4950" t="s">
        <v>1102</v>
      </c>
      <c r="F53" s="4951"/>
      <c r="G53" s="4950" t="s">
        <v>1103</v>
      </c>
      <c r="H53" s="4952"/>
      <c r="I53" s="4953"/>
      <c r="J53" s="2156"/>
      <c r="K53" s="2156"/>
      <c r="L53" s="2152"/>
    </row>
    <row r="54" spans="1:21" s="2257" customFormat="1">
      <c r="A54" s="2124"/>
      <c r="B54" s="4966" t="s">
        <v>1104</v>
      </c>
      <c r="C54" s="4967"/>
      <c r="D54" s="4968"/>
      <c r="E54" s="4969">
        <f>'84 8 Übersicht'!D30</f>
        <v>0</v>
      </c>
      <c r="F54" s="4970"/>
      <c r="G54" s="4971">
        <f>'84 8 Übersicht'!D37</f>
        <v>0</v>
      </c>
      <c r="H54" s="4972"/>
      <c r="I54" s="4973"/>
      <c r="J54" s="2156"/>
      <c r="K54" s="2156"/>
      <c r="L54" s="2152"/>
    </row>
    <row r="55" spans="1:21" s="2257" customFormat="1" ht="15.75" customHeight="1">
      <c r="A55" s="2124"/>
      <c r="B55" s="4966" t="s">
        <v>1105</v>
      </c>
      <c r="C55" s="4967"/>
      <c r="D55" s="4968"/>
      <c r="E55" s="4974" t="str">
        <f>'84 8 Übersicht'!D23</f>
        <v/>
      </c>
      <c r="F55" s="4975"/>
      <c r="G55" s="4974" t="str">
        <f>'84 8 Übersicht'!D33</f>
        <v/>
      </c>
      <c r="H55" s="4976"/>
      <c r="I55" s="4977"/>
      <c r="J55" s="2156"/>
      <c r="K55" s="2156"/>
      <c r="L55" s="2152"/>
    </row>
    <row r="56" spans="1:21" s="2256" customFormat="1">
      <c r="A56" s="2124"/>
      <c r="B56" s="4966" t="s">
        <v>1106</v>
      </c>
      <c r="C56" s="4967"/>
      <c r="D56" s="4968"/>
      <c r="E56" s="4987" t="e">
        <f>'84 8 Übersicht'!D27/'84 8 Übersicht'!D23</f>
        <v>#VALUE!</v>
      </c>
      <c r="F56" s="4988"/>
      <c r="G56" s="4987" t="e">
        <f>'84 8 Übersicht'!D34/'84 8 Übersicht'!D33</f>
        <v>#VALUE!</v>
      </c>
      <c r="H56" s="4989"/>
      <c r="I56" s="4990"/>
      <c r="J56" s="2156"/>
      <c r="K56" s="2156"/>
      <c r="L56" s="2152"/>
      <c r="N56" s="2257"/>
      <c r="O56" s="2257"/>
      <c r="P56" s="2257"/>
      <c r="Q56" s="2257"/>
      <c r="R56" s="2257"/>
      <c r="S56" s="2257"/>
      <c r="T56" s="2257"/>
      <c r="U56" s="2257"/>
    </row>
    <row r="57" spans="1:21" s="2256" customFormat="1" ht="13.5" thickBot="1">
      <c r="A57" s="2124"/>
      <c r="B57" s="4991" t="s">
        <v>1107</v>
      </c>
      <c r="C57" s="4992"/>
      <c r="D57" s="4993"/>
      <c r="E57" s="4994" t="e">
        <f>('84 8 Übersicht'!D27+'84 8 Übersicht'!D28)/'84 8 Übersicht'!D23</f>
        <v>#VALUE!</v>
      </c>
      <c r="F57" s="4995"/>
      <c r="G57" s="4994" t="e">
        <f>('84 8 Übersicht'!D34+'84 8 Übersicht'!D35)/'84 8 Übersicht'!D33</f>
        <v>#VALUE!</v>
      </c>
      <c r="H57" s="4996"/>
      <c r="I57" s="4997"/>
      <c r="J57" s="2156"/>
      <c r="K57" s="2156"/>
      <c r="L57" s="2152"/>
    </row>
    <row r="58" spans="1:21" ht="15.75">
      <c r="A58" s="2124"/>
      <c r="B58" s="4978" t="s">
        <v>1108</v>
      </c>
      <c r="C58" s="4979"/>
      <c r="D58" s="4979"/>
      <c r="E58" s="4979"/>
      <c r="F58" s="4979"/>
      <c r="G58" s="4979"/>
      <c r="H58" s="4979"/>
      <c r="I58" s="4980"/>
      <c r="J58" s="2156"/>
      <c r="K58" s="2156"/>
      <c r="L58" s="2152"/>
      <c r="N58" s="2256"/>
      <c r="O58" s="2256"/>
      <c r="P58" s="2256"/>
      <c r="Q58" s="2256"/>
      <c r="R58" s="2256"/>
      <c r="S58" s="2256"/>
      <c r="T58" s="2256"/>
      <c r="U58" s="2256"/>
    </row>
    <row r="59" spans="1:21">
      <c r="A59" s="2181"/>
      <c r="B59" s="4981" t="str">
        <f>'84 8 Nachweis'!K32</f>
        <v/>
      </c>
      <c r="C59" s="4982"/>
      <c r="D59" s="4982"/>
      <c r="E59" s="4982"/>
      <c r="F59" s="4982"/>
      <c r="G59" s="4982"/>
      <c r="H59" s="4982"/>
      <c r="I59" s="4983"/>
      <c r="J59" s="2156"/>
      <c r="K59" s="2156"/>
      <c r="L59" s="2152"/>
    </row>
    <row r="60" spans="1:21" ht="13.5" thickBot="1">
      <c r="A60" s="2258"/>
      <c r="B60" s="4984" t="str">
        <f>'84 8 Nachweis'!K33</f>
        <v/>
      </c>
      <c r="C60" s="4985"/>
      <c r="D60" s="4985"/>
      <c r="E60" s="4985"/>
      <c r="F60" s="4985"/>
      <c r="G60" s="4985"/>
      <c r="H60" s="4985"/>
      <c r="I60" s="4986"/>
      <c r="J60" s="2156"/>
      <c r="K60" s="2156"/>
      <c r="L60" s="2152"/>
    </row>
    <row r="61" spans="1:21" ht="13.5" thickBot="1">
      <c r="A61" s="2258"/>
      <c r="B61" s="2156"/>
      <c r="C61" s="2156"/>
      <c r="D61" s="2156"/>
      <c r="E61" s="2156"/>
      <c r="F61" s="2156"/>
      <c r="G61" s="2156"/>
      <c r="H61" s="2156"/>
      <c r="I61" s="2156"/>
      <c r="J61" s="2156"/>
      <c r="K61" s="2156"/>
      <c r="L61" s="2152"/>
    </row>
    <row r="62" spans="1:21" ht="16.5" thickBot="1">
      <c r="A62" s="2258"/>
      <c r="B62" s="2259" t="s">
        <v>1136</v>
      </c>
      <c r="C62" s="2260"/>
      <c r="D62" s="2260"/>
      <c r="E62" s="2260"/>
      <c r="F62" s="2260"/>
      <c r="G62" s="2260"/>
      <c r="H62" s="2260"/>
      <c r="I62" s="2261"/>
      <c r="J62" s="2156"/>
      <c r="K62" s="2156"/>
      <c r="L62" s="2152"/>
    </row>
    <row r="63" spans="1:21">
      <c r="A63" s="2258" t="str">
        <f>IF('84 8 Nachweis'!B35="","",'84 8 Nachweis'!B35)</f>
        <v/>
      </c>
      <c r="B63" s="2262" t="str">
        <f>IF('84 8 Nachweis'!C35="","",'84 8 Nachweis'!C35)</f>
        <v/>
      </c>
      <c r="C63" s="2263"/>
      <c r="D63" s="2263"/>
      <c r="E63" s="2263"/>
      <c r="F63" s="2263"/>
      <c r="G63" s="2263"/>
      <c r="H63" s="2263"/>
      <c r="I63" s="2264"/>
      <c r="J63" s="2156"/>
      <c r="K63" s="2156"/>
      <c r="L63" s="2152"/>
    </row>
    <row r="64" spans="1:21">
      <c r="A64" s="2258" t="str">
        <f>IF('84 8 Nachweis'!B36="","",'84 8 Nachweis'!B36)</f>
        <v/>
      </c>
      <c r="B64" s="2265" t="str">
        <f>IF('84 8 Nachweis'!C36="","",'84 8 Nachweis'!C36)</f>
        <v/>
      </c>
      <c r="C64" s="2266"/>
      <c r="D64" s="2266"/>
      <c r="E64" s="2266"/>
      <c r="F64" s="2266"/>
      <c r="G64" s="2266"/>
      <c r="H64" s="2266"/>
      <c r="I64" s="2267"/>
      <c r="J64" s="2156"/>
      <c r="K64" s="2156"/>
      <c r="L64" s="2152"/>
    </row>
    <row r="65" spans="1:12">
      <c r="A65" s="2258" t="str">
        <f>IF('84 8 Nachweis'!B37="","",'84 8 Nachweis'!B37)</f>
        <v/>
      </c>
      <c r="B65" s="2265" t="str">
        <f>IF('84 8 Nachweis'!C37="","",'84 8 Nachweis'!C37)</f>
        <v/>
      </c>
      <c r="C65" s="2266"/>
      <c r="D65" s="2266"/>
      <c r="E65" s="2266"/>
      <c r="F65" s="2266"/>
      <c r="G65" s="2266"/>
      <c r="H65" s="2266"/>
      <c r="I65" s="2267"/>
      <c r="J65" s="2156"/>
      <c r="K65" s="2156"/>
      <c r="L65" s="2152"/>
    </row>
    <row r="66" spans="1:12">
      <c r="A66" s="2258" t="str">
        <f>IF('84 8 Nachweis'!B38="","",'84 8 Nachweis'!B38)</f>
        <v/>
      </c>
      <c r="B66" s="2268" t="str">
        <f>IF('84 8 Nachweis'!C38="","",'84 8 Nachweis'!C38)</f>
        <v/>
      </c>
      <c r="C66" s="2269"/>
      <c r="D66" s="2269"/>
      <c r="E66" s="2269"/>
      <c r="F66" s="2269"/>
      <c r="G66" s="2269"/>
      <c r="H66" s="2269"/>
      <c r="I66" s="2270"/>
      <c r="J66" s="2156"/>
      <c r="K66" s="2156"/>
      <c r="L66" s="2152"/>
    </row>
    <row r="67" spans="1:12">
      <c r="A67" s="2258" t="str">
        <f>IF('84 8 Nachweis'!B39="","",'84 8 Nachweis'!B39)</f>
        <v/>
      </c>
      <c r="B67" s="2265" t="str">
        <f>IF('84 8 Nachweis'!C39="","",'84 8 Nachweis'!C39)</f>
        <v/>
      </c>
      <c r="C67" s="2266"/>
      <c r="D67" s="2266"/>
      <c r="E67" s="2266"/>
      <c r="F67" s="2266"/>
      <c r="G67" s="2266"/>
      <c r="H67" s="2266"/>
      <c r="I67" s="2267"/>
      <c r="J67" s="2156"/>
      <c r="K67" s="2156"/>
      <c r="L67" s="2152"/>
    </row>
    <row r="68" spans="1:12">
      <c r="A68" s="2258" t="str">
        <f>IF('84 8 Nachweis'!B40="","",'84 8 Nachweis'!B40)</f>
        <v/>
      </c>
      <c r="B68" s="2265" t="str">
        <f>IF('84 8 Nachweis'!C40="","",'84 8 Nachweis'!C40)</f>
        <v/>
      </c>
      <c r="C68" s="2266"/>
      <c r="D68" s="2266"/>
      <c r="E68" s="2266"/>
      <c r="F68" s="2266"/>
      <c r="G68" s="2266"/>
      <c r="H68" s="2266"/>
      <c r="I68" s="2267"/>
      <c r="J68" s="2156"/>
      <c r="K68" s="2156"/>
      <c r="L68" s="2152"/>
    </row>
    <row r="69" spans="1:12" ht="13.5" thickBot="1">
      <c r="A69" s="2258" t="str">
        <f>IF('84 8 Nachweis'!B41="","",'84 8 Nachweis'!B41)</f>
        <v/>
      </c>
      <c r="B69" s="2271" t="str">
        <f>IF('84 8 Nachweis'!C41="","",'84 8 Nachweis'!C41)</f>
        <v/>
      </c>
      <c r="C69" s="2272"/>
      <c r="D69" s="2272"/>
      <c r="E69" s="2272"/>
      <c r="F69" s="2272"/>
      <c r="G69" s="2272"/>
      <c r="H69" s="2272"/>
      <c r="I69" s="2273"/>
      <c r="J69" s="2156"/>
      <c r="K69" s="2156"/>
      <c r="L69" s="2152"/>
    </row>
    <row r="70" spans="1:12" ht="13.5" thickBot="1">
      <c r="A70" s="2274"/>
      <c r="B70" s="2275" t="str">
        <f>IF('84 8 Nachweis'!C42="","",'84 8 Nachweis'!C42)</f>
        <v/>
      </c>
      <c r="C70" s="2275"/>
      <c r="D70" s="2275"/>
      <c r="E70" s="2275"/>
      <c r="F70" s="2275"/>
      <c r="G70" s="2275"/>
      <c r="H70" s="2275"/>
      <c r="I70" s="2275"/>
      <c r="J70" s="2131"/>
      <c r="K70" s="2131"/>
      <c r="L70" s="2132"/>
    </row>
  </sheetData>
  <mergeCells count="84">
    <mergeCell ref="B58:I58"/>
    <mergeCell ref="B59:I59"/>
    <mergeCell ref="B60:I60"/>
    <mergeCell ref="B56:D56"/>
    <mergeCell ref="E56:F56"/>
    <mergeCell ref="G56:I56"/>
    <mergeCell ref="B57:D57"/>
    <mergeCell ref="E57:F57"/>
    <mergeCell ref="G57:I57"/>
    <mergeCell ref="B54:D54"/>
    <mergeCell ref="E54:F54"/>
    <mergeCell ref="G54:I54"/>
    <mergeCell ref="B55:D55"/>
    <mergeCell ref="E55:F55"/>
    <mergeCell ref="G55:I55"/>
    <mergeCell ref="B53:D53"/>
    <mergeCell ref="E53:F53"/>
    <mergeCell ref="G53:I53"/>
    <mergeCell ref="B46:C46"/>
    <mergeCell ref="D46:E46"/>
    <mergeCell ref="F46:G46"/>
    <mergeCell ref="B48:E48"/>
    <mergeCell ref="F48:G48"/>
    <mergeCell ref="B49:E49"/>
    <mergeCell ref="F49:G49"/>
    <mergeCell ref="B51:I51"/>
    <mergeCell ref="J46:L46"/>
    <mergeCell ref="B47:E47"/>
    <mergeCell ref="F47:G47"/>
    <mergeCell ref="F43:G43"/>
    <mergeCell ref="J43:L43"/>
    <mergeCell ref="B44:E44"/>
    <mergeCell ref="F44:G44"/>
    <mergeCell ref="B45:E45"/>
    <mergeCell ref="F45:G45"/>
    <mergeCell ref="J45:K45"/>
    <mergeCell ref="B41:G41"/>
    <mergeCell ref="I41:L41"/>
    <mergeCell ref="B42:C42"/>
    <mergeCell ref="D42:E42"/>
    <mergeCell ref="F42:G42"/>
    <mergeCell ref="J42:K42"/>
    <mergeCell ref="B39:D39"/>
    <mergeCell ref="K24:L24"/>
    <mergeCell ref="K25:L25"/>
    <mergeCell ref="K26:L26"/>
    <mergeCell ref="P26:S26"/>
    <mergeCell ref="K27:L27"/>
    <mergeCell ref="P27:R27"/>
    <mergeCell ref="K28:L28"/>
    <mergeCell ref="K29:L29"/>
    <mergeCell ref="B32:F32"/>
    <mergeCell ref="I33:L38"/>
    <mergeCell ref="B37:D37"/>
    <mergeCell ref="N11:U11"/>
    <mergeCell ref="K23:L23"/>
    <mergeCell ref="K13:L13"/>
    <mergeCell ref="N13:U13"/>
    <mergeCell ref="K14:L14"/>
    <mergeCell ref="K15:L15"/>
    <mergeCell ref="K16:L16"/>
    <mergeCell ref="K17:L17"/>
    <mergeCell ref="K18:L18"/>
    <mergeCell ref="K19:L19"/>
    <mergeCell ref="K20:L20"/>
    <mergeCell ref="K21:L21"/>
    <mergeCell ref="K22:L22"/>
    <mergeCell ref="K12:L12"/>
    <mergeCell ref="E4:F4"/>
    <mergeCell ref="J4:L4"/>
    <mergeCell ref="I5:K5"/>
    <mergeCell ref="B6:F6"/>
    <mergeCell ref="I6:K6"/>
    <mergeCell ref="I7:J7"/>
    <mergeCell ref="I8:J8"/>
    <mergeCell ref="K8:L9"/>
    <mergeCell ref="K10:L10"/>
    <mergeCell ref="K11:L11"/>
    <mergeCell ref="B3:F3"/>
    <mergeCell ref="B1:F1"/>
    <mergeCell ref="G1:I1"/>
    <mergeCell ref="J1:L1"/>
    <mergeCell ref="B2:F2"/>
    <mergeCell ref="G2:I2"/>
  </mergeCells>
  <conditionalFormatting sqref="F43:G43">
    <cfRule type="expression" dxfId="60" priority="12" stopIfTrue="1">
      <formula>H43="ja"</formula>
    </cfRule>
    <cfRule type="expression" dxfId="59" priority="13" stopIfTrue="1">
      <formula>ISERROR(F43)</formula>
    </cfRule>
  </conditionalFormatting>
  <conditionalFormatting sqref="I43">
    <cfRule type="expression" dxfId="58" priority="14" stopIfTrue="1">
      <formula>H43="ja"</formula>
    </cfRule>
    <cfRule type="expression" dxfId="57" priority="15" stopIfTrue="1">
      <formula>ISERROR(I43)</formula>
    </cfRule>
  </conditionalFormatting>
  <conditionalFormatting sqref="F49:G49">
    <cfRule type="containsErrors" dxfId="56" priority="3">
      <formula>ISERROR(F49)</formula>
    </cfRule>
    <cfRule type="containsErrors" dxfId="55" priority="4">
      <formula>ISERROR(F49)</formula>
    </cfRule>
    <cfRule type="expression" dxfId="54" priority="16" stopIfTrue="1">
      <formula>ISERROR(F49)</formula>
    </cfRule>
    <cfRule type="expression" dxfId="53" priority="17" stopIfTrue="1">
      <formula>F48=0</formula>
    </cfRule>
  </conditionalFormatting>
  <conditionalFormatting sqref="B44:E44">
    <cfRule type="expression" dxfId="52" priority="18" stopIfTrue="1">
      <formula>I6=""</formula>
    </cfRule>
  </conditionalFormatting>
  <conditionalFormatting sqref="B45:E45">
    <cfRule type="expression" dxfId="51" priority="19" stopIfTrue="1">
      <formula>I6=""</formula>
    </cfRule>
  </conditionalFormatting>
  <conditionalFormatting sqref="B48:E48">
    <cfRule type="expression" dxfId="50" priority="20" stopIfTrue="1">
      <formula>I6=""</formula>
    </cfRule>
  </conditionalFormatting>
  <conditionalFormatting sqref="B49:E49">
    <cfRule type="expression" dxfId="49" priority="21" stopIfTrue="1">
      <formula>I6=""</formula>
    </cfRule>
  </conditionalFormatting>
  <conditionalFormatting sqref="F45:G45">
    <cfRule type="expression" dxfId="48" priority="22" stopIfTrue="1">
      <formula>F44=0</formula>
    </cfRule>
    <cfRule type="expression" dxfId="47" priority="23" stopIfTrue="1">
      <formula>ISERROR($F$45)</formula>
    </cfRule>
  </conditionalFormatting>
  <conditionalFormatting sqref="I45 F46:G46">
    <cfRule type="expression" dxfId="46" priority="24">
      <formula>ISERROR(F45)</formula>
    </cfRule>
  </conditionalFormatting>
  <conditionalFormatting sqref="F42:G42 I42">
    <cfRule type="expression" dxfId="45" priority="25">
      <formula>ISERROR(F42)</formula>
    </cfRule>
    <cfRule type="containsErrors" dxfId="44" priority="39">
      <formula>ISERROR(F42)</formula>
    </cfRule>
  </conditionalFormatting>
  <conditionalFormatting sqref="F39">
    <cfRule type="expression" dxfId="43" priority="26" stopIfTrue="1">
      <formula>ISERROR($F$39)</formula>
    </cfRule>
    <cfRule type="containsErrors" dxfId="42" priority="38">
      <formula>ISERROR(F39)</formula>
    </cfRule>
  </conditionalFormatting>
  <conditionalFormatting sqref="F44:G44">
    <cfRule type="expression" dxfId="41" priority="27" stopIfTrue="1">
      <formula>ISERROR($F$44)</formula>
    </cfRule>
    <cfRule type="expression" dxfId="40" priority="28" stopIfTrue="1">
      <formula>F44=0</formula>
    </cfRule>
  </conditionalFormatting>
  <conditionalFormatting sqref="F47:G47">
    <cfRule type="containsErrors" dxfId="39" priority="2">
      <formula>ISERROR(F47)</formula>
    </cfRule>
    <cfRule type="expression" dxfId="38" priority="29" stopIfTrue="1">
      <formula>ISERROR($F$47)</formula>
    </cfRule>
  </conditionalFormatting>
  <conditionalFormatting sqref="E56:F56">
    <cfRule type="expression" dxfId="37" priority="30" stopIfTrue="1">
      <formula>ISERROR($E$56)</formula>
    </cfRule>
  </conditionalFormatting>
  <conditionalFormatting sqref="E57:F57">
    <cfRule type="expression" dxfId="36" priority="31" stopIfTrue="1">
      <formula>ISERROR($E$57)</formula>
    </cfRule>
  </conditionalFormatting>
  <conditionalFormatting sqref="G56:I56">
    <cfRule type="expression" dxfId="35" priority="32" stopIfTrue="1">
      <formula>ISERROR($G$56)</formula>
    </cfRule>
  </conditionalFormatting>
  <conditionalFormatting sqref="G57:I57">
    <cfRule type="expression" dxfId="34" priority="33" stopIfTrue="1">
      <formula>ISERROR($G$57)</formula>
    </cfRule>
  </conditionalFormatting>
  <conditionalFormatting sqref="F48:G48">
    <cfRule type="expression" dxfId="33" priority="34" stopIfTrue="1">
      <formula>F48=0</formula>
    </cfRule>
    <cfRule type="expression" dxfId="32" priority="35" stopIfTrue="1">
      <formula>ISERROR($F$48)</formula>
    </cfRule>
  </conditionalFormatting>
  <conditionalFormatting sqref="B1:F3">
    <cfRule type="cellIs" dxfId="31" priority="9" operator="equal">
      <formula>0</formula>
    </cfRule>
  </conditionalFormatting>
  <conditionalFormatting sqref="B3:F3">
    <cfRule type="cellIs" dxfId="30" priority="8" operator="equal">
      <formula>0</formula>
    </cfRule>
  </conditionalFormatting>
  <conditionalFormatting sqref="E56:I57">
    <cfRule type="containsErrors" dxfId="29" priority="40">
      <formula>ISERROR(E56)</formula>
    </cfRule>
  </conditionalFormatting>
  <conditionalFormatting sqref="E54:I54">
    <cfRule type="cellIs" dxfId="28" priority="5" operator="equal">
      <formula>0</formula>
    </cfRule>
  </conditionalFormatting>
  <conditionalFormatting sqref="E30 F37">
    <cfRule type="cellIs" dxfId="27" priority="1" operator="equal">
      <formula>0</formula>
    </cfRule>
  </conditionalFormatting>
  <dataValidations count="1">
    <dataValidation type="list" allowBlank="1" showInputMessage="1" showErrorMessage="1" prompt="Bitte aus der Liste auswählen." sqref="G2:I2">
      <formula1>"Forderung,Angebot,Nachforderung,Ergebnis"</formula1>
    </dataValidation>
  </dataValidations>
  <printOptions horizontalCentered="1"/>
  <pageMargins left="0.15748031496062992" right="0.15748031496062992" top="0.55118110236220474" bottom="0.39370078740157483" header="0.39370078740157483" footer="0.23622047244094491"/>
  <pageSetup paperSize="9" scale="72" orientation="portrait" r:id="rId1"/>
  <headerFooter alignWithMargins="0">
    <oddFooter>&amp;L&amp;F</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2">
    <tabColor theme="6" tint="0.39997558519241921"/>
    <pageSetUpPr fitToPage="1"/>
  </sheetPr>
  <dimension ref="A1:AK71"/>
  <sheetViews>
    <sheetView zoomScale="80" zoomScaleNormal="80" workbookViewId="0">
      <selection activeCell="V19" sqref="V19"/>
    </sheetView>
  </sheetViews>
  <sheetFormatPr baseColWidth="10" defaultColWidth="11.42578125" defaultRowHeight="12.75" outlineLevelRow="1"/>
  <cols>
    <col min="1" max="1" width="4" style="2024" customWidth="1"/>
    <col min="2" max="2" width="16.7109375" style="2024" customWidth="1"/>
    <col min="3" max="3" width="13.140625" style="2024" customWidth="1"/>
    <col min="4" max="4" width="25.7109375" style="2024" customWidth="1"/>
    <col min="5" max="7" width="20.28515625" style="2024" customWidth="1"/>
    <col min="8" max="8" width="13.140625" style="2024" customWidth="1"/>
    <col min="9" max="9" width="8.28515625" style="2024" customWidth="1"/>
    <col min="10" max="13" width="13.140625" style="2024" customWidth="1"/>
    <col min="14" max="14" width="16.5703125" style="2024" customWidth="1"/>
    <col min="15" max="15" width="8.28515625" style="2024" customWidth="1"/>
    <col min="16" max="19" width="13.140625" style="2024" customWidth="1"/>
    <col min="20" max="20" width="10.5703125" style="2696" customWidth="1"/>
    <col min="21" max="21" width="4.28515625" style="2696" customWidth="1"/>
    <col min="22" max="23" width="11.42578125" style="2024"/>
    <col min="24" max="24" width="21.7109375" style="2024" customWidth="1"/>
    <col min="25" max="29" width="22" style="2024" customWidth="1"/>
    <col min="30" max="30" width="11.42578125" style="2024" customWidth="1"/>
    <col min="31" max="32" width="20.7109375" style="2024" customWidth="1"/>
    <col min="33" max="33" width="16.140625" style="2024" customWidth="1"/>
    <col min="34" max="34" width="14.85546875" style="2024" customWidth="1"/>
    <col min="35" max="35" width="15.140625" style="2024" customWidth="1"/>
    <col min="36" max="16384" width="11.42578125" style="2024"/>
  </cols>
  <sheetData>
    <row r="1" spans="1:36" ht="23.25">
      <c r="A1" s="4744" t="s">
        <v>1582</v>
      </c>
      <c r="B1" s="4745"/>
      <c r="C1" s="4745"/>
      <c r="D1" s="4745"/>
      <c r="E1" s="4745"/>
      <c r="F1" s="4745"/>
      <c r="G1" s="4745"/>
      <c r="H1" s="4745"/>
      <c r="I1" s="4745"/>
      <c r="J1" s="4745"/>
      <c r="K1" s="4745"/>
      <c r="L1" s="4745"/>
      <c r="M1" s="4745"/>
      <c r="N1" s="4745"/>
      <c r="O1" s="4745"/>
      <c r="P1" s="4745"/>
      <c r="Q1" s="4745"/>
      <c r="R1" s="4745"/>
      <c r="S1" s="4745"/>
      <c r="T1" s="4746"/>
      <c r="V1" s="2030"/>
      <c r="W1" s="2015"/>
    </row>
    <row r="2" spans="1:36" ht="21">
      <c r="A2" s="4747" t="s">
        <v>1604</v>
      </c>
      <c r="B2" s="4748"/>
      <c r="C2" s="4748"/>
      <c r="D2" s="4748"/>
      <c r="E2" s="4748"/>
      <c r="F2" s="4748"/>
      <c r="G2" s="4748"/>
      <c r="H2" s="4748"/>
      <c r="I2" s="4748"/>
      <c r="J2" s="4748"/>
      <c r="K2" s="4748"/>
      <c r="L2" s="4748"/>
      <c r="M2" s="4748"/>
      <c r="N2" s="4748"/>
      <c r="O2" s="4748"/>
      <c r="P2" s="4748"/>
      <c r="Q2" s="4748"/>
      <c r="R2" s="4748"/>
      <c r="S2" s="4748"/>
      <c r="T2" s="4749"/>
      <c r="V2" s="2877"/>
      <c r="W2" s="1477"/>
    </row>
    <row r="3" spans="1:36" ht="23.25" customHeight="1" thickBot="1">
      <c r="A3" s="2026"/>
      <c r="B3" s="5004" t="str">
        <f>CONCATENATE('84 8 Übersicht'!C4,", ",'Copy &amp; Paste'!B7,", ",'Copy &amp; Paste'!B8," ",'Copy &amp; Paste'!C8)</f>
        <v xml:space="preserve">0, ,  </v>
      </c>
      <c r="C3" s="5004"/>
      <c r="D3" s="5004"/>
      <c r="E3" s="5004"/>
      <c r="F3" s="2913"/>
      <c r="G3" s="2726"/>
      <c r="H3" s="2726"/>
      <c r="I3" s="2726"/>
      <c r="J3" s="2027"/>
      <c r="K3" s="4750"/>
      <c r="L3" s="4750"/>
      <c r="M3" s="4750"/>
      <c r="N3" s="2698"/>
      <c r="O3" s="2029"/>
      <c r="P3" s="2029"/>
      <c r="Q3" s="4750"/>
      <c r="R3" s="4750"/>
      <c r="S3" s="4750"/>
      <c r="T3" s="4751"/>
      <c r="V3" s="2877"/>
      <c r="W3" s="1477"/>
    </row>
    <row r="4" spans="1:36" ht="23.25" customHeight="1" thickBot="1">
      <c r="A4" s="2031"/>
      <c r="B4" s="2917"/>
      <c r="C4" s="2917"/>
      <c r="D4" s="2917"/>
      <c r="E4" s="5005" t="s">
        <v>1878</v>
      </c>
      <c r="F4" s="5006"/>
      <c r="G4" s="5006"/>
      <c r="H4" s="5007"/>
      <c r="I4" s="2918"/>
      <c r="J4" s="2924"/>
      <c r="K4" s="2919"/>
      <c r="L4" s="2919"/>
      <c r="M4" s="2929"/>
      <c r="N4" s="2919"/>
      <c r="O4" s="2920"/>
      <c r="P4" s="2920"/>
      <c r="Q4" s="2919"/>
      <c r="R4" s="2919"/>
      <c r="S4" s="2919"/>
      <c r="T4" s="2944" t="s">
        <v>1884</v>
      </c>
      <c r="U4" s="2912"/>
      <c r="V4" s="2877"/>
      <c r="W4" s="1477"/>
    </row>
    <row r="5" spans="1:36" ht="41.25" customHeight="1" thickBot="1">
      <c r="A5" s="2031"/>
      <c r="B5" s="2034" t="s">
        <v>1109</v>
      </c>
      <c r="C5" s="2917"/>
      <c r="D5" s="3069" t="s">
        <v>2004</v>
      </c>
      <c r="E5" s="2939" t="s">
        <v>1879</v>
      </c>
      <c r="F5" s="2994" t="s">
        <v>1898</v>
      </c>
      <c r="G5" s="2994" t="s">
        <v>1899</v>
      </c>
      <c r="H5" s="3032" t="s">
        <v>1905</v>
      </c>
      <c r="I5" s="2918"/>
      <c r="J5" s="2925" t="s">
        <v>1880</v>
      </c>
      <c r="K5" s="2926" t="s">
        <v>1881</v>
      </c>
      <c r="L5" s="2926" t="s">
        <v>1882</v>
      </c>
      <c r="M5" s="2926"/>
      <c r="N5" s="2919"/>
      <c r="O5" s="2920"/>
      <c r="P5" s="2920"/>
      <c r="Q5" s="2919"/>
      <c r="R5" s="2919"/>
      <c r="S5" s="2919"/>
      <c r="T5" s="2935" t="s">
        <v>1883</v>
      </c>
      <c r="U5" s="2912"/>
      <c r="V5" s="2877"/>
      <c r="W5" s="1477"/>
    </row>
    <row r="6" spans="1:36" ht="23.25" customHeight="1" thickBot="1">
      <c r="A6" s="2031"/>
      <c r="B6" s="2917"/>
      <c r="C6" s="2917"/>
      <c r="D6" s="2917"/>
      <c r="E6" s="2940" t="s">
        <v>1</v>
      </c>
      <c r="F6" s="3072">
        <f>Belegung!N31</f>
        <v>0</v>
      </c>
      <c r="G6" s="2938" t="e">
        <f t="shared" ref="G6:G10" si="0">ROUND(F6/$J$6*$L$6,2)</f>
        <v>#DIV/0!</v>
      </c>
      <c r="H6" s="3241" t="e">
        <f t="shared" ref="H6:H10" si="1">ROUND(G6*T7,3)</f>
        <v>#DIV/0!</v>
      </c>
      <c r="I6" s="2918"/>
      <c r="J6" s="3033">
        <f>Belegung!K38</f>
        <v>0</v>
      </c>
      <c r="K6" s="2927">
        <f>MIN(Belegung!P38,0.025)</f>
        <v>2.5000000000000001E-2</v>
      </c>
      <c r="L6" s="2928">
        <f>0.98-0.25*K6</f>
        <v>0.9738</v>
      </c>
      <c r="M6" s="2943"/>
      <c r="N6" s="2919"/>
      <c r="O6" s="2920"/>
      <c r="P6" s="2920"/>
      <c r="Q6" s="2919"/>
      <c r="R6" s="2919"/>
      <c r="S6" s="2919"/>
      <c r="T6" s="2945" t="s">
        <v>1885</v>
      </c>
      <c r="U6" s="2912"/>
      <c r="V6" s="2877"/>
      <c r="W6" s="1477"/>
    </row>
    <row r="7" spans="1:36" ht="23.25" customHeight="1" thickBot="1">
      <c r="A7" s="2031"/>
      <c r="B7" s="2032"/>
      <c r="C7" s="2032"/>
      <c r="D7" s="3070">
        <f>IK</f>
        <v>0</v>
      </c>
      <c r="E7" s="2940" t="s">
        <v>2</v>
      </c>
      <c r="F7" s="3073">
        <f>IF(Belegung!N32,Belegung!N32,Belegung!G32)</f>
        <v>0</v>
      </c>
      <c r="G7" s="2938" t="e">
        <f t="shared" si="0"/>
        <v>#DIV/0!</v>
      </c>
      <c r="H7" s="3241" t="e">
        <f t="shared" si="1"/>
        <v>#DIV/0!</v>
      </c>
      <c r="I7" s="2032"/>
      <c r="J7" s="2032"/>
      <c r="K7" s="2032"/>
      <c r="L7" s="2032"/>
      <c r="M7" s="2032"/>
      <c r="N7" s="2032"/>
      <c r="O7" s="2032"/>
      <c r="P7" s="2032"/>
      <c r="Q7" s="2032"/>
      <c r="R7" s="2032"/>
      <c r="S7" s="2032"/>
      <c r="T7" s="2933">
        <v>1.6E-2</v>
      </c>
      <c r="V7" s="2877"/>
      <c r="W7" s="1477"/>
    </row>
    <row r="8" spans="1:36" ht="24.75" customHeight="1" thickBot="1">
      <c r="A8" s="2031"/>
      <c r="B8" s="2034"/>
      <c r="D8" s="2923"/>
      <c r="E8" s="2940" t="s">
        <v>3</v>
      </c>
      <c r="F8" s="3073">
        <f>IF(Belegung!N33,Belegung!N33,Belegung!G33)</f>
        <v>0</v>
      </c>
      <c r="G8" s="2938" t="e">
        <f t="shared" si="0"/>
        <v>#DIV/0!</v>
      </c>
      <c r="H8" s="3241" t="e">
        <f t="shared" si="1"/>
        <v>#DIV/0!</v>
      </c>
      <c r="I8" s="2936"/>
      <c r="J8" s="216" t="s">
        <v>1602</v>
      </c>
      <c r="K8" s="410">
        <v>43831</v>
      </c>
      <c r="L8" s="217">
        <f>EOMONTH(K8,11)</f>
        <v>44196</v>
      </c>
      <c r="M8" s="2036"/>
      <c r="N8" s="5010" t="s">
        <v>1601</v>
      </c>
      <c r="O8" s="5011"/>
      <c r="P8" s="5011"/>
      <c r="Q8" s="5012"/>
      <c r="R8" s="330">
        <f>'Copy &amp; Paste'!G21</f>
        <v>45717</v>
      </c>
      <c r="S8" s="2930">
        <f>EOMONTH(R8,11)</f>
        <v>46081</v>
      </c>
      <c r="T8" s="2933">
        <v>1.6E-2</v>
      </c>
      <c r="V8" s="2285"/>
      <c r="W8" s="1477" t="s">
        <v>1147</v>
      </c>
      <c r="X8" s="144"/>
    </row>
    <row r="9" spans="1:36" ht="24.75" customHeight="1" thickBot="1">
      <c r="A9" s="2040"/>
      <c r="B9" s="2032"/>
      <c r="C9" s="2032"/>
      <c r="D9" s="3083" t="s">
        <v>80</v>
      </c>
      <c r="E9" s="2940" t="s">
        <v>4</v>
      </c>
      <c r="F9" s="3073">
        <f>IF(Belegung!N34,Belegung!N34,Belegung!G34)</f>
        <v>0</v>
      </c>
      <c r="G9" s="2938" t="e">
        <f t="shared" si="0"/>
        <v>#DIV/0!</v>
      </c>
      <c r="H9" s="3241" t="e">
        <f t="shared" si="1"/>
        <v>#DIV/0!</v>
      </c>
      <c r="I9" s="5008" t="s">
        <v>1600</v>
      </c>
      <c r="J9" s="5008"/>
      <c r="K9" s="5009"/>
      <c r="L9" s="3067"/>
      <c r="M9" s="386"/>
      <c r="N9" s="222"/>
      <c r="O9" s="223"/>
      <c r="P9" s="2736"/>
      <c r="Q9" s="2742" t="s">
        <v>1600</v>
      </c>
      <c r="R9" s="2957" t="e">
        <f>IF(Belegung!Q37,Belegung!Q37,Protokoll!B18)</f>
        <v>#VALUE!</v>
      </c>
      <c r="S9" s="2931"/>
      <c r="T9" s="2933">
        <v>2.5000000000000001E-2</v>
      </c>
      <c r="V9" s="2286"/>
      <c r="W9" s="1477" t="s">
        <v>1192</v>
      </c>
      <c r="X9" s="144"/>
      <c r="AB9" s="2043"/>
    </row>
    <row r="10" spans="1:36" ht="24.95" customHeight="1" thickBot="1">
      <c r="A10" s="2040"/>
      <c r="B10" s="2044"/>
      <c r="C10" s="2044"/>
      <c r="D10" s="2916"/>
      <c r="E10" s="2941" t="s">
        <v>5</v>
      </c>
      <c r="F10" s="3074">
        <f>IF(Belegung!N35,Belegung!N35,Belegung!G35)</f>
        <v>0</v>
      </c>
      <c r="G10" s="3075" t="e">
        <f t="shared" si="0"/>
        <v>#DIV/0!</v>
      </c>
      <c r="H10" s="3242" t="e">
        <f t="shared" si="1"/>
        <v>#DIV/0!</v>
      </c>
      <c r="I10" s="5013">
        <f>SUMPRODUCT(Belegung!G5:G9,'84 9 Nachweis'!T7:T11)</f>
        <v>0</v>
      </c>
      <c r="J10" s="5014"/>
      <c r="K10" s="4754" t="s">
        <v>1113</v>
      </c>
      <c r="L10" s="4755"/>
      <c r="M10" s="2741" t="str">
        <f>I35</f>
        <v/>
      </c>
      <c r="N10" s="5015" t="e">
        <f>H11</f>
        <v>#DIV/0!</v>
      </c>
      <c r="O10" s="5016"/>
      <c r="P10" s="5017"/>
      <c r="Q10" s="2743"/>
      <c r="R10" s="227"/>
      <c r="S10" s="2932"/>
      <c r="T10" s="2933">
        <v>3.2000000000000001E-2</v>
      </c>
      <c r="V10" s="1476"/>
      <c r="W10" s="1477" t="s">
        <v>1193</v>
      </c>
    </row>
    <row r="11" spans="1:36" ht="24.95" customHeight="1" thickBot="1">
      <c r="A11" s="2040"/>
      <c r="B11" s="2044"/>
      <c r="C11" s="2044"/>
      <c r="D11" s="2044"/>
      <c r="E11" s="2942" t="s">
        <v>32</v>
      </c>
      <c r="F11" s="2937">
        <f>SUM(F6:F10)</f>
        <v>0</v>
      </c>
      <c r="G11" s="2937" t="e">
        <f>SUM(G6:G10)</f>
        <v>#DIV/0!</v>
      </c>
      <c r="H11" s="3243" t="e">
        <f>SUM(H6:H10)</f>
        <v>#DIV/0!</v>
      </c>
      <c r="I11" s="4762" t="s">
        <v>1115</v>
      </c>
      <c r="J11" s="4760"/>
      <c r="K11" s="4760"/>
      <c r="L11" s="4760"/>
      <c r="M11" s="4761"/>
      <c r="N11" s="4759" t="s">
        <v>1597</v>
      </c>
      <c r="O11" s="4762"/>
      <c r="P11" s="4762"/>
      <c r="Q11" s="4762"/>
      <c r="R11" s="4762"/>
      <c r="S11" s="4762"/>
      <c r="T11" s="2934">
        <v>3.5999999999999997E-2</v>
      </c>
    </row>
    <row r="12" spans="1:36" ht="43.5" customHeight="1">
      <c r="A12" s="2040"/>
      <c r="B12" s="4779" t="s">
        <v>1353</v>
      </c>
      <c r="C12" s="4779" t="s">
        <v>1592</v>
      </c>
      <c r="D12" s="4779" t="s">
        <v>1591</v>
      </c>
      <c r="E12" s="4998" t="s">
        <v>1593</v>
      </c>
      <c r="F12" s="4999"/>
      <c r="G12" s="5000"/>
      <c r="H12" s="4739" t="s">
        <v>1588</v>
      </c>
      <c r="I12" s="4739" t="s">
        <v>1589</v>
      </c>
      <c r="J12" s="228" t="s">
        <v>1121</v>
      </c>
      <c r="K12" s="228" t="s">
        <v>1122</v>
      </c>
      <c r="L12" s="4739" t="s">
        <v>1583</v>
      </c>
      <c r="M12" s="228" t="s">
        <v>1584</v>
      </c>
      <c r="N12" s="4739" t="s">
        <v>1119</v>
      </c>
      <c r="O12" s="4739" t="s">
        <v>1590</v>
      </c>
      <c r="P12" s="228" t="s">
        <v>1125</v>
      </c>
      <c r="Q12" s="228" t="s">
        <v>1122</v>
      </c>
      <c r="R12" s="228" t="s">
        <v>1583</v>
      </c>
      <c r="S12" s="228" t="s">
        <v>1584</v>
      </c>
      <c r="T12" s="228" t="s">
        <v>1127</v>
      </c>
      <c r="V12" s="3030"/>
      <c r="W12" s="3030"/>
      <c r="X12" s="3030"/>
      <c r="Y12" s="3030"/>
      <c r="Z12" s="3030"/>
      <c r="AA12" s="3030"/>
      <c r="AB12" s="3030"/>
      <c r="AC12" s="3030"/>
      <c r="AD12" s="3030"/>
      <c r="AE12" s="3030"/>
      <c r="AF12" s="3030"/>
      <c r="AG12" s="3031"/>
      <c r="AH12" s="3031"/>
      <c r="AI12" s="3031"/>
    </row>
    <row r="13" spans="1:36" ht="15" customHeight="1" thickBot="1">
      <c r="A13" s="2040"/>
      <c r="B13" s="4780"/>
      <c r="C13" s="4780"/>
      <c r="D13" s="4780"/>
      <c r="E13" s="5001"/>
      <c r="F13" s="5002"/>
      <c r="G13" s="5003"/>
      <c r="H13" s="4740"/>
      <c r="I13" s="4740"/>
      <c r="J13" s="2831" t="s">
        <v>1128</v>
      </c>
      <c r="K13" s="2831" t="s">
        <v>1717</v>
      </c>
      <c r="L13" s="4740"/>
      <c r="M13" s="2831" t="s">
        <v>1719</v>
      </c>
      <c r="N13" s="4740"/>
      <c r="O13" s="4740"/>
      <c r="P13" s="2831" t="s">
        <v>1854</v>
      </c>
      <c r="Q13" s="2831" t="s">
        <v>1718</v>
      </c>
      <c r="R13" s="2697"/>
      <c r="S13" s="2831" t="s">
        <v>1720</v>
      </c>
      <c r="T13" s="2697"/>
      <c r="V13" s="2875"/>
    </row>
    <row r="14" spans="1:36" ht="15" customHeight="1" thickBot="1">
      <c r="A14" s="2046"/>
      <c r="B14" s="229">
        <v>1</v>
      </c>
      <c r="C14" s="2694">
        <v>2</v>
      </c>
      <c r="D14" s="2694">
        <v>3</v>
      </c>
      <c r="E14" s="4766">
        <v>4</v>
      </c>
      <c r="F14" s="5039"/>
      <c r="G14" s="4767"/>
      <c r="H14" s="2695">
        <v>5</v>
      </c>
      <c r="I14" s="229">
        <v>6</v>
      </c>
      <c r="J14" s="229">
        <v>7</v>
      </c>
      <c r="K14" s="229">
        <v>8</v>
      </c>
      <c r="L14" s="229">
        <v>9</v>
      </c>
      <c r="M14" s="229">
        <v>10</v>
      </c>
      <c r="N14" s="229">
        <v>11</v>
      </c>
      <c r="O14" s="229">
        <v>12</v>
      </c>
      <c r="P14" s="229">
        <v>13</v>
      </c>
      <c r="Q14" s="229">
        <v>14</v>
      </c>
      <c r="R14" s="229">
        <v>15</v>
      </c>
      <c r="S14" s="229">
        <v>16</v>
      </c>
      <c r="T14" s="229">
        <v>17</v>
      </c>
      <c r="V14" s="2875"/>
    </row>
    <row r="15" spans="1:36" ht="18" customHeight="1">
      <c r="A15" s="2047">
        <v>1</v>
      </c>
      <c r="B15" s="2703"/>
      <c r="C15" s="2721"/>
      <c r="D15" s="2718" t="s">
        <v>1873</v>
      </c>
      <c r="E15" s="5024" t="s">
        <v>1594</v>
      </c>
      <c r="F15" s="5024"/>
      <c r="G15" s="5025"/>
      <c r="H15" s="2715"/>
      <c r="I15" s="2727"/>
      <c r="J15" s="2702"/>
      <c r="K15" s="390" t="str">
        <f>IF(I15="","",J15/I15)</f>
        <v/>
      </c>
      <c r="L15" s="2706"/>
      <c r="M15" s="392" t="str">
        <f>IF(J15="","",J15+L15)</f>
        <v/>
      </c>
      <c r="N15" s="2708"/>
      <c r="O15" s="2729"/>
      <c r="P15" s="2702"/>
      <c r="Q15" s="390" t="str">
        <f>IF(O15="","",P15/O15)</f>
        <v/>
      </c>
      <c r="R15" s="2706"/>
      <c r="S15" s="394" t="str">
        <f>IF(P15="","",P15+R15)</f>
        <v/>
      </c>
      <c r="T15" s="395" t="str">
        <f>IF(O15="","",(P15/O15-J15/I15)/(J15/I15))</f>
        <v/>
      </c>
      <c r="V15" s="2904"/>
      <c r="W15" s="2908"/>
      <c r="X15" s="2904"/>
      <c r="Y15" s="2904"/>
      <c r="Z15" s="2995"/>
      <c r="AA15" s="2888"/>
      <c r="AB15" s="2889"/>
      <c r="AC15" s="3018"/>
      <c r="AD15" s="2904"/>
      <c r="AE15" s="2904"/>
      <c r="AF15" s="3019"/>
      <c r="AG15" s="3020"/>
      <c r="AH15" s="3019"/>
      <c r="AI15" s="3019"/>
      <c r="AJ15" s="2908"/>
    </row>
    <row r="16" spans="1:36" ht="18" customHeight="1">
      <c r="A16" s="2047">
        <v>2</v>
      </c>
      <c r="B16" s="2703"/>
      <c r="C16" s="2722"/>
      <c r="D16" s="2719" t="s">
        <v>1873</v>
      </c>
      <c r="E16" s="5026" t="s">
        <v>1595</v>
      </c>
      <c r="F16" s="5026"/>
      <c r="G16" s="5027"/>
      <c r="H16" s="2716"/>
      <c r="I16" s="2727"/>
      <c r="J16" s="2702"/>
      <c r="K16" s="390" t="str">
        <f t="shared" ref="K16:K33" si="2">IF(I16="","",J16/I16)</f>
        <v/>
      </c>
      <c r="L16" s="2706"/>
      <c r="M16" s="392" t="str">
        <f t="shared" ref="M16:M33" si="3">IF(J16="","",J16+L16)</f>
        <v/>
      </c>
      <c r="N16" s="2709"/>
      <c r="O16" s="2729"/>
      <c r="P16" s="2702"/>
      <c r="Q16" s="390" t="str">
        <f t="shared" ref="Q16:Q33" si="4">IF(O16="","",P16/O16)</f>
        <v/>
      </c>
      <c r="R16" s="2706"/>
      <c r="S16" s="396" t="str">
        <f t="shared" ref="S16:S33" si="5">IF(P16="","",P16+R16)</f>
        <v/>
      </c>
      <c r="T16" s="395" t="str">
        <f t="shared" ref="T16:T33" si="6">IF(O16="","",(P16/O16-J16/I16)/(J16/I16))</f>
        <v/>
      </c>
      <c r="V16" s="2905"/>
      <c r="W16" s="2909"/>
      <c r="X16" s="2904"/>
      <c r="Y16" s="2904"/>
      <c r="Z16" s="2995"/>
      <c r="AA16" s="2890"/>
      <c r="AB16" s="2891"/>
      <c r="AC16" s="3018"/>
      <c r="AD16" s="2905"/>
      <c r="AE16" s="2905"/>
      <c r="AF16" s="3019"/>
      <c r="AG16" s="3020"/>
      <c r="AH16" s="3020"/>
      <c r="AI16" s="3020"/>
      <c r="AJ16" s="2909"/>
    </row>
    <row r="17" spans="1:36" ht="18" customHeight="1">
      <c r="A17" s="2047">
        <v>3</v>
      </c>
      <c r="B17" s="2703"/>
      <c r="C17" s="2722"/>
      <c r="D17" s="2719" t="s">
        <v>1873</v>
      </c>
      <c r="E17" s="5026" t="s">
        <v>1596</v>
      </c>
      <c r="F17" s="5026"/>
      <c r="G17" s="5027"/>
      <c r="H17" s="2716"/>
      <c r="I17" s="2727"/>
      <c r="J17" s="2702"/>
      <c r="K17" s="390" t="str">
        <f t="shared" si="2"/>
        <v/>
      </c>
      <c r="L17" s="2706"/>
      <c r="M17" s="392" t="str">
        <f t="shared" si="3"/>
        <v/>
      </c>
      <c r="N17" s="2709"/>
      <c r="O17" s="2729"/>
      <c r="P17" s="2702"/>
      <c r="Q17" s="390" t="str">
        <f t="shared" si="4"/>
        <v/>
      </c>
      <c r="R17" s="2706"/>
      <c r="S17" s="396" t="str">
        <f t="shared" si="5"/>
        <v/>
      </c>
      <c r="T17" s="395" t="str">
        <f t="shared" si="6"/>
        <v/>
      </c>
      <c r="V17" s="2905"/>
      <c r="W17" s="2909"/>
      <c r="X17" s="2904"/>
      <c r="Y17" s="2904"/>
      <c r="Z17" s="2995"/>
      <c r="AA17" s="3015"/>
      <c r="AB17" s="2996"/>
      <c r="AC17" s="3018"/>
      <c r="AD17" s="2905"/>
      <c r="AE17" s="2905"/>
      <c r="AF17" s="3019"/>
      <c r="AG17" s="2997"/>
      <c r="AH17" s="3020"/>
      <c r="AI17" s="3020"/>
      <c r="AJ17" s="2909"/>
    </row>
    <row r="18" spans="1:36" ht="18" customHeight="1">
      <c r="A18" s="2047">
        <v>4</v>
      </c>
      <c r="B18" s="2703"/>
      <c r="C18" s="2722"/>
      <c r="D18" s="2719"/>
      <c r="E18" s="5026"/>
      <c r="F18" s="5026"/>
      <c r="G18" s="5027"/>
      <c r="H18" s="2716"/>
      <c r="I18" s="2727"/>
      <c r="J18" s="2702"/>
      <c r="K18" s="390" t="str">
        <f t="shared" si="2"/>
        <v/>
      </c>
      <c r="L18" s="2706"/>
      <c r="M18" s="392" t="str">
        <f t="shared" si="3"/>
        <v/>
      </c>
      <c r="N18" s="2709"/>
      <c r="O18" s="2729"/>
      <c r="P18" s="2702"/>
      <c r="Q18" s="390" t="str">
        <f t="shared" si="4"/>
        <v/>
      </c>
      <c r="R18" s="2706"/>
      <c r="S18" s="396" t="str">
        <f t="shared" si="5"/>
        <v/>
      </c>
      <c r="T18" s="395" t="str">
        <f t="shared" si="6"/>
        <v/>
      </c>
      <c r="V18" s="2905"/>
      <c r="W18" s="2909"/>
      <c r="X18" s="3013"/>
      <c r="Y18" s="3014"/>
      <c r="Z18" s="2998"/>
      <c r="AA18" s="3016"/>
      <c r="AB18" s="2891"/>
      <c r="AC18" s="3018"/>
      <c r="AD18" s="2905"/>
      <c r="AE18" s="2905"/>
      <c r="AF18" s="2905"/>
      <c r="AG18" s="2999"/>
      <c r="AH18" s="3020"/>
      <c r="AI18" s="3020"/>
      <c r="AJ18" s="2909"/>
    </row>
    <row r="19" spans="1:36" ht="18" customHeight="1">
      <c r="A19" s="2047">
        <v>5</v>
      </c>
      <c r="B19" s="2703"/>
      <c r="C19" s="2722"/>
      <c r="D19" s="2719"/>
      <c r="E19" s="5026"/>
      <c r="F19" s="5026"/>
      <c r="G19" s="5027"/>
      <c r="H19" s="2716"/>
      <c r="I19" s="2727"/>
      <c r="J19" s="2702"/>
      <c r="K19" s="390" t="str">
        <f t="shared" si="2"/>
        <v/>
      </c>
      <c r="L19" s="2706"/>
      <c r="M19" s="392" t="str">
        <f t="shared" si="3"/>
        <v/>
      </c>
      <c r="N19" s="2709"/>
      <c r="O19" s="2729"/>
      <c r="P19" s="2702"/>
      <c r="Q19" s="390" t="str">
        <f t="shared" si="4"/>
        <v/>
      </c>
      <c r="R19" s="2706"/>
      <c r="S19" s="396" t="str">
        <f t="shared" si="5"/>
        <v/>
      </c>
      <c r="T19" s="395" t="str">
        <f t="shared" si="6"/>
        <v/>
      </c>
      <c r="V19" s="2905"/>
      <c r="W19" s="2909"/>
      <c r="X19" s="3013"/>
      <c r="Y19" s="3014"/>
      <c r="Z19" s="2998"/>
      <c r="AA19" s="3016"/>
      <c r="AB19" s="2893"/>
      <c r="AC19" s="3018"/>
      <c r="AD19" s="2905"/>
      <c r="AE19" s="2905"/>
      <c r="AF19" s="3020"/>
      <c r="AG19" s="3000"/>
      <c r="AH19" s="3020"/>
      <c r="AI19" s="3020"/>
      <c r="AJ19" s="2909"/>
    </row>
    <row r="20" spans="1:36" ht="18" customHeight="1">
      <c r="A20" s="2047">
        <v>6</v>
      </c>
      <c r="B20" s="2703"/>
      <c r="C20" s="2722"/>
      <c r="D20" s="2719"/>
      <c r="E20" s="5026"/>
      <c r="F20" s="5026"/>
      <c r="G20" s="5027"/>
      <c r="H20" s="2716"/>
      <c r="I20" s="2727"/>
      <c r="J20" s="2702"/>
      <c r="K20" s="390" t="str">
        <f t="shared" si="2"/>
        <v/>
      </c>
      <c r="L20" s="2706"/>
      <c r="M20" s="392" t="str">
        <f t="shared" si="3"/>
        <v/>
      </c>
      <c r="N20" s="2709"/>
      <c r="O20" s="2729"/>
      <c r="P20" s="2702"/>
      <c r="Q20" s="390" t="str">
        <f t="shared" si="4"/>
        <v/>
      </c>
      <c r="R20" s="2706"/>
      <c r="S20" s="396" t="str">
        <f t="shared" si="5"/>
        <v/>
      </c>
      <c r="T20" s="395" t="str">
        <f t="shared" si="6"/>
        <v/>
      </c>
      <c r="V20" s="2889"/>
      <c r="W20" s="2894"/>
      <c r="X20" s="2893"/>
      <c r="Y20" s="2895"/>
      <c r="Z20" s="2895"/>
      <c r="AA20" s="2907"/>
      <c r="AB20" s="2896"/>
      <c r="AC20" s="3001"/>
      <c r="AD20" s="2901"/>
      <c r="AE20" s="3002"/>
      <c r="AF20" s="3003"/>
      <c r="AG20" s="3021"/>
      <c r="AH20" s="3004"/>
      <c r="AI20" s="3005"/>
      <c r="AJ20" s="2894"/>
    </row>
    <row r="21" spans="1:36" ht="18" customHeight="1">
      <c r="A21" s="2047">
        <v>7</v>
      </c>
      <c r="B21" s="2703"/>
      <c r="C21" s="2722"/>
      <c r="D21" s="2719"/>
      <c r="E21" s="5026"/>
      <c r="F21" s="5026"/>
      <c r="G21" s="5027"/>
      <c r="H21" s="2716"/>
      <c r="I21" s="2727"/>
      <c r="J21" s="2702"/>
      <c r="K21" s="390" t="str">
        <f t="shared" si="2"/>
        <v/>
      </c>
      <c r="L21" s="2706"/>
      <c r="M21" s="392" t="str">
        <f t="shared" si="3"/>
        <v/>
      </c>
      <c r="N21" s="2709"/>
      <c r="O21" s="2729"/>
      <c r="P21" s="2702"/>
      <c r="Q21" s="390" t="str">
        <f t="shared" si="4"/>
        <v/>
      </c>
      <c r="R21" s="2706"/>
      <c r="S21" s="396" t="str">
        <f t="shared" si="5"/>
        <v/>
      </c>
      <c r="T21" s="395" t="str">
        <f t="shared" si="6"/>
        <v/>
      </c>
      <c r="V21" s="2889"/>
      <c r="W21" s="2894"/>
      <c r="X21" s="2893"/>
      <c r="Y21" s="2895"/>
      <c r="Z21" s="2895"/>
      <c r="AA21" s="2907"/>
      <c r="AB21" s="2896"/>
      <c r="AC21" s="2901"/>
      <c r="AD21" s="2901"/>
      <c r="AE21" s="3002"/>
      <c r="AF21" s="3003"/>
      <c r="AG21" s="3022"/>
      <c r="AH21" s="3004"/>
      <c r="AI21" s="3005"/>
      <c r="AJ21" s="2894"/>
    </row>
    <row r="22" spans="1:36" ht="18" customHeight="1">
      <c r="A22" s="2047">
        <v>8</v>
      </c>
      <c r="B22" s="2703"/>
      <c r="C22" s="2722"/>
      <c r="D22" s="2719"/>
      <c r="E22" s="5026"/>
      <c r="F22" s="5026"/>
      <c r="G22" s="5027"/>
      <c r="H22" s="2716"/>
      <c r="I22" s="2727"/>
      <c r="J22" s="2702"/>
      <c r="K22" s="390" t="str">
        <f t="shared" si="2"/>
        <v/>
      </c>
      <c r="L22" s="2706"/>
      <c r="M22" s="392" t="str">
        <f t="shared" si="3"/>
        <v/>
      </c>
      <c r="N22" s="2709"/>
      <c r="O22" s="2729"/>
      <c r="P22" s="2702"/>
      <c r="Q22" s="390" t="str">
        <f t="shared" si="4"/>
        <v/>
      </c>
      <c r="R22" s="2706"/>
      <c r="S22" s="396" t="str">
        <f t="shared" si="5"/>
        <v/>
      </c>
      <c r="T22" s="395" t="str">
        <f t="shared" si="6"/>
        <v/>
      </c>
      <c r="V22" s="2889"/>
      <c r="W22" s="2894"/>
      <c r="X22" s="2893"/>
      <c r="Y22" s="2895"/>
      <c r="Z22" s="2895"/>
      <c r="AA22" s="2907"/>
      <c r="AB22" s="2896"/>
      <c r="AC22" s="2901"/>
      <c r="AD22" s="2901"/>
      <c r="AE22" s="3002"/>
      <c r="AF22" s="3003"/>
      <c r="AG22" s="3022"/>
      <c r="AH22" s="3004"/>
      <c r="AI22" s="3005"/>
      <c r="AJ22" s="2894"/>
    </row>
    <row r="23" spans="1:36" ht="18" customHeight="1">
      <c r="A23" s="2047">
        <v>9</v>
      </c>
      <c r="B23" s="2703"/>
      <c r="C23" s="2722"/>
      <c r="D23" s="2719"/>
      <c r="E23" s="5026"/>
      <c r="F23" s="5026"/>
      <c r="G23" s="5027"/>
      <c r="H23" s="2716"/>
      <c r="I23" s="2727"/>
      <c r="J23" s="2702"/>
      <c r="K23" s="390" t="str">
        <f t="shared" si="2"/>
        <v/>
      </c>
      <c r="L23" s="2706"/>
      <c r="M23" s="392" t="str">
        <f t="shared" si="3"/>
        <v/>
      </c>
      <c r="N23" s="2709"/>
      <c r="O23" s="2729"/>
      <c r="P23" s="2702"/>
      <c r="Q23" s="390" t="str">
        <f t="shared" si="4"/>
        <v/>
      </c>
      <c r="R23" s="2706"/>
      <c r="S23" s="396" t="str">
        <f t="shared" si="5"/>
        <v/>
      </c>
      <c r="T23" s="395" t="str">
        <f t="shared" si="6"/>
        <v/>
      </c>
      <c r="V23" s="2889"/>
      <c r="W23" s="2894"/>
      <c r="X23" s="2893"/>
      <c r="Y23" s="2895"/>
      <c r="Z23" s="2895"/>
      <c r="AA23" s="2907"/>
      <c r="AB23" s="2896"/>
      <c r="AC23" s="2901"/>
      <c r="AD23" s="2901"/>
      <c r="AE23" s="3002"/>
      <c r="AF23" s="3003"/>
      <c r="AG23" s="3022"/>
      <c r="AH23" s="3004"/>
      <c r="AI23" s="3005"/>
      <c r="AJ23" s="2894"/>
    </row>
    <row r="24" spans="1:36" ht="18" customHeight="1">
      <c r="A24" s="2047">
        <v>10</v>
      </c>
      <c r="B24" s="2703"/>
      <c r="C24" s="2722"/>
      <c r="D24" s="2719"/>
      <c r="E24" s="5026"/>
      <c r="F24" s="5026"/>
      <c r="G24" s="5027"/>
      <c r="H24" s="2716"/>
      <c r="I24" s="2727"/>
      <c r="J24" s="2702"/>
      <c r="K24" s="390" t="str">
        <f t="shared" si="2"/>
        <v/>
      </c>
      <c r="L24" s="2706"/>
      <c r="M24" s="392" t="str">
        <f t="shared" si="3"/>
        <v/>
      </c>
      <c r="N24" s="2709"/>
      <c r="O24" s="2729"/>
      <c r="P24" s="2702"/>
      <c r="Q24" s="390" t="str">
        <f t="shared" si="4"/>
        <v/>
      </c>
      <c r="R24" s="2706"/>
      <c r="S24" s="396" t="str">
        <f t="shared" si="5"/>
        <v/>
      </c>
      <c r="T24" s="2804" t="str">
        <f t="shared" si="6"/>
        <v/>
      </c>
      <c r="V24" s="2889"/>
      <c r="W24" s="2894"/>
      <c r="X24" s="2893"/>
      <c r="Y24" s="2895"/>
      <c r="Z24" s="2895"/>
      <c r="AA24" s="2907"/>
      <c r="AB24" s="2896"/>
      <c r="AC24" s="2901"/>
      <c r="AD24" s="2901"/>
      <c r="AE24" s="3002"/>
      <c r="AF24" s="3003"/>
      <c r="AG24" s="3022"/>
      <c r="AH24" s="3004"/>
      <c r="AI24" s="3005"/>
      <c r="AJ24" s="2894"/>
    </row>
    <row r="25" spans="1:36" ht="18" customHeight="1" outlineLevel="1" thickBot="1">
      <c r="A25" s="2047">
        <v>11</v>
      </c>
      <c r="B25" s="2703"/>
      <c r="C25" s="2722"/>
      <c r="D25" s="2719"/>
      <c r="E25" s="5026"/>
      <c r="F25" s="5026"/>
      <c r="G25" s="5027"/>
      <c r="H25" s="2716"/>
      <c r="I25" s="2727"/>
      <c r="J25" s="2702"/>
      <c r="K25" s="390" t="str">
        <f t="shared" si="2"/>
        <v/>
      </c>
      <c r="L25" s="2706"/>
      <c r="M25" s="392" t="str">
        <f t="shared" si="3"/>
        <v/>
      </c>
      <c r="N25" s="2709"/>
      <c r="O25" s="2729"/>
      <c r="P25" s="2702"/>
      <c r="Q25" s="390" t="str">
        <f t="shared" si="4"/>
        <v/>
      </c>
      <c r="R25" s="2706"/>
      <c r="S25" s="396" t="str">
        <f t="shared" si="5"/>
        <v/>
      </c>
      <c r="T25" s="395" t="str">
        <f t="shared" si="6"/>
        <v/>
      </c>
      <c r="V25" s="2899"/>
      <c r="W25" s="2899"/>
      <c r="X25" s="2896"/>
      <c r="Y25" s="2900"/>
      <c r="Z25" s="2900"/>
      <c r="AA25" s="2907"/>
      <c r="AB25" s="2896"/>
      <c r="AC25" s="2901"/>
      <c r="AD25" s="2901"/>
      <c r="AE25" s="3002"/>
      <c r="AF25" s="3006"/>
      <c r="AG25" s="3022"/>
      <c r="AH25" s="3004"/>
      <c r="AI25" s="3005"/>
      <c r="AJ25" s="2903"/>
    </row>
    <row r="26" spans="1:36" ht="18" customHeight="1" outlineLevel="1">
      <c r="A26" s="2047">
        <v>12</v>
      </c>
      <c r="B26" s="2703"/>
      <c r="C26" s="2722"/>
      <c r="D26" s="2719"/>
      <c r="E26" s="5026"/>
      <c r="F26" s="5026"/>
      <c r="G26" s="5027"/>
      <c r="H26" s="2716"/>
      <c r="I26" s="2727"/>
      <c r="J26" s="2702"/>
      <c r="K26" s="390" t="str">
        <f t="shared" si="2"/>
        <v/>
      </c>
      <c r="L26" s="2706"/>
      <c r="M26" s="392" t="str">
        <f t="shared" si="3"/>
        <v/>
      </c>
      <c r="N26" s="2709"/>
      <c r="O26" s="2729"/>
      <c r="P26" s="2702"/>
      <c r="Q26" s="390" t="str">
        <f t="shared" si="4"/>
        <v/>
      </c>
      <c r="R26" s="2706"/>
      <c r="S26" s="396" t="str">
        <f t="shared" si="5"/>
        <v/>
      </c>
      <c r="T26" s="395" t="str">
        <f t="shared" si="6"/>
        <v/>
      </c>
      <c r="V26" s="5043" t="s">
        <v>1901</v>
      </c>
      <c r="W26" s="5044"/>
      <c r="X26" s="5044"/>
      <c r="Y26" s="5044"/>
      <c r="Z26" s="5044"/>
      <c r="AA26" s="5044"/>
      <c r="AB26" s="5044"/>
      <c r="AC26" s="5044"/>
      <c r="AD26" s="5044"/>
      <c r="AE26" s="5044"/>
      <c r="AF26" s="5045"/>
      <c r="AG26" s="2903"/>
      <c r="AH26" s="2903"/>
      <c r="AI26" s="3011"/>
      <c r="AJ26" s="2903"/>
    </row>
    <row r="27" spans="1:36" ht="18" customHeight="1" outlineLevel="1">
      <c r="A27" s="2047">
        <v>13</v>
      </c>
      <c r="B27" s="2703"/>
      <c r="C27" s="2722"/>
      <c r="D27" s="2719"/>
      <c r="E27" s="5026"/>
      <c r="F27" s="5026"/>
      <c r="G27" s="5027"/>
      <c r="H27" s="2716"/>
      <c r="I27" s="2727"/>
      <c r="J27" s="2702"/>
      <c r="K27" s="390" t="str">
        <f t="shared" si="2"/>
        <v/>
      </c>
      <c r="L27" s="2706"/>
      <c r="M27" s="392" t="str">
        <f t="shared" si="3"/>
        <v/>
      </c>
      <c r="N27" s="2709"/>
      <c r="O27" s="2729"/>
      <c r="P27" s="2702"/>
      <c r="Q27" s="390" t="str">
        <f t="shared" si="4"/>
        <v/>
      </c>
      <c r="R27" s="2706"/>
      <c r="S27" s="396" t="str">
        <f t="shared" si="5"/>
        <v/>
      </c>
      <c r="T27" s="395" t="str">
        <f t="shared" si="6"/>
        <v/>
      </c>
      <c r="V27" s="5046" t="s">
        <v>1900</v>
      </c>
      <c r="W27" s="5047"/>
      <c r="X27" s="5047"/>
      <c r="Y27" s="5047"/>
      <c r="Z27" s="5047"/>
      <c r="AA27" s="5047"/>
      <c r="AB27" s="5047"/>
      <c r="AC27" s="5047"/>
      <c r="AD27" s="5047"/>
      <c r="AE27" s="5047"/>
      <c r="AF27" s="5048"/>
      <c r="AG27" s="2885"/>
      <c r="AH27" s="2885"/>
      <c r="AI27" s="2904"/>
    </row>
    <row r="28" spans="1:36" ht="18" customHeight="1" outlineLevel="1" thickBot="1">
      <c r="A28" s="2047">
        <v>14</v>
      </c>
      <c r="B28" s="2703"/>
      <c r="C28" s="2722"/>
      <c r="D28" s="2719"/>
      <c r="E28" s="5026"/>
      <c r="F28" s="5026"/>
      <c r="G28" s="5027"/>
      <c r="H28" s="2716"/>
      <c r="I28" s="2727"/>
      <c r="J28" s="2702"/>
      <c r="K28" s="390" t="str">
        <f t="shared" si="2"/>
        <v/>
      </c>
      <c r="L28" s="2706"/>
      <c r="M28" s="392" t="str">
        <f t="shared" si="3"/>
        <v/>
      </c>
      <c r="N28" s="2709"/>
      <c r="O28" s="2729"/>
      <c r="P28" s="2702"/>
      <c r="Q28" s="390" t="str">
        <f t="shared" si="4"/>
        <v/>
      </c>
      <c r="R28" s="2706"/>
      <c r="S28" s="396" t="str">
        <f t="shared" si="5"/>
        <v/>
      </c>
      <c r="T28" s="395" t="str">
        <f t="shared" si="6"/>
        <v/>
      </c>
      <c r="V28" s="5049" t="s">
        <v>1902</v>
      </c>
      <c r="W28" s="5050"/>
      <c r="X28" s="5050"/>
      <c r="Y28" s="5050"/>
      <c r="Z28" s="5050"/>
      <c r="AA28" s="5050"/>
      <c r="AB28" s="5050"/>
      <c r="AC28" s="5050"/>
      <c r="AD28" s="5050"/>
      <c r="AE28" s="5050"/>
      <c r="AF28" s="5051"/>
      <c r="AG28" s="2885"/>
      <c r="AH28" s="2885"/>
      <c r="AI28" s="2905"/>
    </row>
    <row r="29" spans="1:36" ht="18" customHeight="1" outlineLevel="1" thickBot="1">
      <c r="A29" s="2047">
        <v>15</v>
      </c>
      <c r="B29" s="2703"/>
      <c r="C29" s="2722"/>
      <c r="D29" s="2719"/>
      <c r="E29" s="5026"/>
      <c r="F29" s="5026"/>
      <c r="G29" s="5027"/>
      <c r="H29" s="2716"/>
      <c r="I29" s="2727"/>
      <c r="J29" s="2702"/>
      <c r="K29" s="390" t="str">
        <f>IF(I29="","",J29/I29)</f>
        <v/>
      </c>
      <c r="L29" s="2706"/>
      <c r="M29" s="392" t="str">
        <f>IF(J29="","",J29+L29)</f>
        <v/>
      </c>
      <c r="N29" s="2709"/>
      <c r="O29" s="2729"/>
      <c r="P29" s="2702"/>
      <c r="Q29" s="390" t="str">
        <f>IF(O29="","",P29/O29)</f>
        <v/>
      </c>
      <c r="R29" s="2706"/>
      <c r="S29" s="396" t="str">
        <f>IF(P29="","",P29+R29)</f>
        <v/>
      </c>
      <c r="T29" s="395" t="str">
        <f t="shared" si="6"/>
        <v/>
      </c>
      <c r="V29" s="2905"/>
      <c r="W29" s="2909"/>
      <c r="X29" s="2904"/>
      <c r="Y29" s="2905"/>
      <c r="Z29" s="2905"/>
      <c r="AA29" s="2890"/>
      <c r="AB29" s="2892"/>
      <c r="AC29" s="2906"/>
      <c r="AD29" s="2886"/>
      <c r="AE29" s="2886"/>
      <c r="AF29" s="2886"/>
      <c r="AG29" s="2886"/>
      <c r="AH29" s="2886"/>
      <c r="AI29" s="2905"/>
    </row>
    <row r="30" spans="1:36" ht="18" customHeight="1" outlineLevel="1">
      <c r="A30" s="2047">
        <v>16</v>
      </c>
      <c r="B30" s="2703"/>
      <c r="C30" s="2722"/>
      <c r="D30" s="2719"/>
      <c r="E30" s="5026"/>
      <c r="F30" s="5026"/>
      <c r="G30" s="5027"/>
      <c r="H30" s="2716"/>
      <c r="I30" s="2727"/>
      <c r="J30" s="2702"/>
      <c r="K30" s="390" t="str">
        <f t="shared" si="2"/>
        <v/>
      </c>
      <c r="L30" s="2706"/>
      <c r="M30" s="392" t="str">
        <f t="shared" si="3"/>
        <v/>
      </c>
      <c r="N30" s="2709"/>
      <c r="O30" s="2729"/>
      <c r="P30" s="2702"/>
      <c r="Q30" s="390" t="str">
        <f t="shared" si="4"/>
        <v/>
      </c>
      <c r="R30" s="2706"/>
      <c r="S30" s="396" t="str">
        <f t="shared" si="5"/>
        <v/>
      </c>
      <c r="T30" s="395" t="str">
        <f t="shared" si="6"/>
        <v/>
      </c>
      <c r="V30" s="5066" t="s">
        <v>1870</v>
      </c>
      <c r="W30" s="5069" t="s">
        <v>1871</v>
      </c>
      <c r="X30" s="5072" t="s">
        <v>765</v>
      </c>
      <c r="Y30" s="5072" t="s">
        <v>884</v>
      </c>
      <c r="Z30" s="2955"/>
      <c r="AA30" s="5052" t="s">
        <v>1875</v>
      </c>
      <c r="AB30" s="5052" t="s">
        <v>1872</v>
      </c>
      <c r="AC30" s="2880" t="s">
        <v>241</v>
      </c>
      <c r="AD30" s="2878">
        <f>'Copy &amp; Paste'!H11</f>
        <v>0</v>
      </c>
      <c r="AE30" s="5054" t="s">
        <v>1896</v>
      </c>
      <c r="AF30" s="5057" t="s">
        <v>1874</v>
      </c>
      <c r="AG30" s="2887"/>
      <c r="AH30" s="2887"/>
      <c r="AI30" s="2905"/>
    </row>
    <row r="31" spans="1:36" ht="18" customHeight="1" outlineLevel="1">
      <c r="A31" s="2047">
        <v>17</v>
      </c>
      <c r="B31" s="2703"/>
      <c r="C31" s="2722"/>
      <c r="D31" s="2719"/>
      <c r="E31" s="5026"/>
      <c r="F31" s="5026"/>
      <c r="G31" s="5027"/>
      <c r="H31" s="2716"/>
      <c r="I31" s="2727"/>
      <c r="J31" s="2702"/>
      <c r="K31" s="390" t="str">
        <f t="shared" si="2"/>
        <v/>
      </c>
      <c r="L31" s="2706"/>
      <c r="M31" s="392" t="str">
        <f t="shared" si="3"/>
        <v/>
      </c>
      <c r="N31" s="2709"/>
      <c r="O31" s="2729"/>
      <c r="P31" s="2702"/>
      <c r="Q31" s="390" t="str">
        <f t="shared" si="4"/>
        <v/>
      </c>
      <c r="R31" s="2706"/>
      <c r="S31" s="397" t="str">
        <f t="shared" si="5"/>
        <v/>
      </c>
      <c r="T31" s="395" t="str">
        <f t="shared" si="6"/>
        <v/>
      </c>
      <c r="V31" s="5067"/>
      <c r="W31" s="5070"/>
      <c r="X31" s="5073"/>
      <c r="Y31" s="5073"/>
      <c r="Z31" s="2956" t="s">
        <v>1271</v>
      </c>
      <c r="AA31" s="5053"/>
      <c r="AB31" s="5053"/>
      <c r="AC31" s="2881" t="s">
        <v>98</v>
      </c>
      <c r="AD31" s="2879">
        <v>0.98</v>
      </c>
      <c r="AE31" s="5055"/>
      <c r="AF31" s="5058"/>
      <c r="AG31" s="2886"/>
      <c r="AH31" s="2886"/>
      <c r="AI31" s="2905"/>
    </row>
    <row r="32" spans="1:36" ht="18" customHeight="1" outlineLevel="1">
      <c r="A32" s="2047">
        <v>18</v>
      </c>
      <c r="B32" s="2703"/>
      <c r="C32" s="2722"/>
      <c r="D32" s="2719"/>
      <c r="E32" s="5026"/>
      <c r="F32" s="5026"/>
      <c r="G32" s="5027"/>
      <c r="H32" s="2716"/>
      <c r="I32" s="2727"/>
      <c r="J32" s="2702"/>
      <c r="K32" s="390" t="str">
        <f t="shared" si="2"/>
        <v/>
      </c>
      <c r="L32" s="2706"/>
      <c r="M32" s="392" t="str">
        <f t="shared" si="3"/>
        <v/>
      </c>
      <c r="N32" s="2709"/>
      <c r="O32" s="2729"/>
      <c r="P32" s="2702"/>
      <c r="Q32" s="390" t="str">
        <f t="shared" si="4"/>
        <v/>
      </c>
      <c r="R32" s="2706"/>
      <c r="S32" s="396" t="str">
        <f t="shared" si="5"/>
        <v/>
      </c>
      <c r="T32" s="395" t="str">
        <f t="shared" si="6"/>
        <v/>
      </c>
      <c r="V32" s="5067"/>
      <c r="W32" s="5070"/>
      <c r="X32" s="5073"/>
      <c r="Y32" s="5073"/>
      <c r="Z32" s="2956"/>
      <c r="AA32" s="5053"/>
      <c r="AB32" s="5053"/>
      <c r="AC32" s="2975" t="s">
        <v>95</v>
      </c>
      <c r="AD32" s="2879">
        <f>MIN(Belegung!P38,0.025)</f>
        <v>2.5000000000000001E-2</v>
      </c>
      <c r="AE32" s="5055"/>
      <c r="AF32" s="5058"/>
      <c r="AG32" s="2897"/>
      <c r="AH32" s="2897"/>
      <c r="AI32" s="2898"/>
    </row>
    <row r="33" spans="1:37" ht="18" customHeight="1" outlineLevel="1">
      <c r="A33" s="2047">
        <v>19</v>
      </c>
      <c r="B33" s="2703"/>
      <c r="C33" s="2722"/>
      <c r="D33" s="2719"/>
      <c r="E33" s="5026"/>
      <c r="F33" s="5026"/>
      <c r="G33" s="5027"/>
      <c r="H33" s="2716"/>
      <c r="I33" s="2727"/>
      <c r="J33" s="2702"/>
      <c r="K33" s="390" t="str">
        <f t="shared" si="2"/>
        <v/>
      </c>
      <c r="L33" s="2706"/>
      <c r="M33" s="392" t="str">
        <f t="shared" si="3"/>
        <v/>
      </c>
      <c r="N33" s="2709"/>
      <c r="O33" s="2729"/>
      <c r="P33" s="2702"/>
      <c r="Q33" s="390" t="str">
        <f t="shared" si="4"/>
        <v/>
      </c>
      <c r="R33" s="2706"/>
      <c r="S33" s="397" t="str">
        <f t="shared" si="5"/>
        <v/>
      </c>
      <c r="T33" s="395" t="str">
        <f t="shared" si="6"/>
        <v/>
      </c>
      <c r="V33" s="5067"/>
      <c r="W33" s="5070"/>
      <c r="X33" s="5060"/>
      <c r="Y33" s="5060"/>
      <c r="Z33" s="2985"/>
      <c r="AA33" s="5062" t="s">
        <v>1877</v>
      </c>
      <c r="AB33" s="5064" t="s">
        <v>1876</v>
      </c>
      <c r="AC33" s="2976" t="s">
        <v>1894</v>
      </c>
      <c r="AD33" s="2879">
        <f>0.98-0.25*AD32</f>
        <v>0.9738</v>
      </c>
      <c r="AE33" s="5055"/>
      <c r="AF33" s="5058"/>
      <c r="AG33" s="2897"/>
      <c r="AH33" s="2897"/>
      <c r="AI33" s="2898"/>
    </row>
    <row r="34" spans="1:37" ht="18" customHeight="1" outlineLevel="1" thickBot="1">
      <c r="A34" s="2047">
        <v>20</v>
      </c>
      <c r="B34" s="2704"/>
      <c r="C34" s="2723"/>
      <c r="D34" s="2720"/>
      <c r="E34" s="5034"/>
      <c r="F34" s="5034"/>
      <c r="G34" s="5035"/>
      <c r="H34" s="2717"/>
      <c r="I34" s="2728"/>
      <c r="J34" s="2705"/>
      <c r="K34" s="391" t="str">
        <f>IF(I34="","",J34/I34)</f>
        <v/>
      </c>
      <c r="L34" s="2707"/>
      <c r="M34" s="393" t="str">
        <f>IF(J34="","",J34+L34)</f>
        <v/>
      </c>
      <c r="N34" s="2710"/>
      <c r="O34" s="2730"/>
      <c r="P34" s="2711"/>
      <c r="Q34" s="391" t="str">
        <f>IF(O34="","",P34/O34)</f>
        <v/>
      </c>
      <c r="R34" s="2712"/>
      <c r="S34" s="398" t="str">
        <f>IF(P34="","",P34+R34)</f>
        <v/>
      </c>
      <c r="T34" s="399" t="str">
        <f>IF(O34="","",(P34/O34-J34/I34)/(J34/I34))</f>
        <v/>
      </c>
      <c r="V34" s="5068"/>
      <c r="W34" s="5071"/>
      <c r="X34" s="5061"/>
      <c r="Y34" s="5061"/>
      <c r="Z34" s="2986"/>
      <c r="AA34" s="5063"/>
      <c r="AB34" s="5065"/>
      <c r="AC34" s="2977"/>
      <c r="AD34" s="2978"/>
      <c r="AE34" s="5056"/>
      <c r="AF34" s="5059"/>
      <c r="AG34" s="2897"/>
      <c r="AH34" s="2897"/>
      <c r="AI34" s="2898"/>
      <c r="AJ34" s="2959"/>
    </row>
    <row r="35" spans="1:37" ht="18" customHeight="1" thickBot="1">
      <c r="A35" s="2040"/>
      <c r="B35" s="2757" t="e">
        <f>B36*30.42</f>
        <v>#VALUE!</v>
      </c>
      <c r="C35" s="2753"/>
      <c r="D35" s="2752" t="s">
        <v>1605</v>
      </c>
      <c r="E35" s="2756"/>
      <c r="F35" s="2921"/>
      <c r="G35" s="332"/>
      <c r="H35" s="2737" t="s">
        <v>1133</v>
      </c>
      <c r="I35" s="2739" t="str">
        <f>IF(SUM(I15:I34)=0,"",SUM(I15:I34))</f>
        <v/>
      </c>
      <c r="J35" s="374" t="str">
        <f>IF(SUM(J15:J34)&lt;&gt;0,SUM(J15:J34),IF(I35="","",SUM(J15:J34)))</f>
        <v/>
      </c>
      <c r="K35" s="374"/>
      <c r="L35" s="377" t="str">
        <f>IF(SUM(L15:L34)&lt;&gt;0,SUM(L15:L34),IF(I35="","",SUM(L15:L34)))</f>
        <v/>
      </c>
      <c r="M35" s="378" t="str">
        <f>IF(SUM(M15:M34)&lt;&gt;0,SUM(M15:M34),IF(I35="","",SUM(M15:M34)))</f>
        <v/>
      </c>
      <c r="N35" s="231"/>
      <c r="O35" s="2740" t="str">
        <f>IF(SUM(O15:O34)=0,"",SUM(O15:O34))</f>
        <v/>
      </c>
      <c r="P35" s="374" t="str">
        <f>IF(SUM(P15:P34)&lt;&gt;0,SUM(P15:P34),IF(I35="","",SUM(P15:P34)))</f>
        <v/>
      </c>
      <c r="Q35" s="374"/>
      <c r="R35" s="377" t="str">
        <f>IF(SUM(R15:R34)&lt;&gt;0,SUM(R15:R34),IF(M35="","",SUM(R15:R34)))</f>
        <v/>
      </c>
      <c r="S35" s="377" t="str">
        <f>IF(SUM(S15:S34)&lt;&gt;0,SUM(S15:S34),IF(O35="","",SUM(S15:S34)))</f>
        <v/>
      </c>
      <c r="T35" s="232"/>
      <c r="V35" s="2882">
        <v>1</v>
      </c>
      <c r="W35" s="2876">
        <v>1.6E-2</v>
      </c>
      <c r="X35" s="2988"/>
      <c r="Y35" s="2979"/>
      <c r="Z35" s="2989" t="str">
        <f>IF(X35="","",X35+(Y35*0.75))</f>
        <v/>
      </c>
      <c r="AA35" s="2980" t="str">
        <f>IF(Z35="","",(X35+(Y35))/365)</f>
        <v/>
      </c>
      <c r="AB35" s="2883" t="e">
        <f>AA35/$AA$40</f>
        <v>#VALUE!</v>
      </c>
      <c r="AC35" s="2953" t="s">
        <v>1271</v>
      </c>
      <c r="AD35" s="2981">
        <f>AD30*AD33*365</f>
        <v>0</v>
      </c>
      <c r="AE35" s="2982" t="e">
        <f>$AD$35*AB35/365</f>
        <v>#VALUE!</v>
      </c>
      <c r="AF35" s="2914" t="e">
        <f>AE35*W35</f>
        <v>#VALUE!</v>
      </c>
      <c r="AG35" s="2897"/>
      <c r="AH35" s="2897"/>
      <c r="AI35" s="2898"/>
    </row>
    <row r="36" spans="1:37" ht="18" customHeight="1" thickBot="1">
      <c r="A36" s="2047"/>
      <c r="B36" s="2755" t="e">
        <f>M35/L9</f>
        <v>#VALUE!</v>
      </c>
      <c r="C36" s="2754"/>
      <c r="D36" s="2751" t="s">
        <v>1606</v>
      </c>
      <c r="E36" s="334"/>
      <c r="F36" s="2922"/>
      <c r="G36" s="335"/>
      <c r="H36" s="2738" t="s">
        <v>1134</v>
      </c>
      <c r="I36" s="2049"/>
      <c r="J36" s="2731" t="str">
        <f>IF(I35="","",ROUND(J35/I35,2))</f>
        <v/>
      </c>
      <c r="K36" s="2734"/>
      <c r="L36" s="2735"/>
      <c r="M36" s="2732" t="str">
        <f>IF(I35="","",ROUND(M35/I35,2))</f>
        <v/>
      </c>
      <c r="N36" s="234"/>
      <c r="O36" s="382"/>
      <c r="P36" s="2733" t="str">
        <f>IF(O35="","",ROUND(P35/O35,2))</f>
        <v/>
      </c>
      <c r="Q36" s="376"/>
      <c r="R36" s="384"/>
      <c r="S36" s="2733" t="str">
        <f>IF(O35="","",ROUND(S35/O35,2))</f>
        <v/>
      </c>
      <c r="T36" s="236"/>
      <c r="V36" s="2882">
        <v>2</v>
      </c>
      <c r="W36" s="2876">
        <v>1.6E-2</v>
      </c>
      <c r="X36" s="2988"/>
      <c r="Y36" s="2979"/>
      <c r="Z36" s="2989" t="str">
        <f>IF(X36="","",X36+(Y36*0.75))</f>
        <v/>
      </c>
      <c r="AA36" s="2980" t="str">
        <f>IF(Z36="","",(X36+(Y36))/365)</f>
        <v/>
      </c>
      <c r="AB36" s="2883" t="e">
        <f>AA36/$AA$40</f>
        <v>#VALUE!</v>
      </c>
      <c r="AC36" s="2953"/>
      <c r="AD36" s="2884"/>
      <c r="AE36" s="2982" t="e">
        <f>$AD$35*AB36/365</f>
        <v>#VALUE!</v>
      </c>
      <c r="AF36" s="2914" t="e">
        <f>AE36*W36</f>
        <v>#VALUE!</v>
      </c>
      <c r="AG36" s="2897"/>
      <c r="AH36" s="2897"/>
      <c r="AI36" s="2898"/>
    </row>
    <row r="37" spans="1:37" ht="16.5" thickBot="1">
      <c r="A37" s="2047"/>
      <c r="B37" s="373" t="s">
        <v>1135</v>
      </c>
      <c r="C37" s="5040" t="s">
        <v>1587</v>
      </c>
      <c r="D37" s="5041"/>
      <c r="E37" s="5041"/>
      <c r="F37" s="5041"/>
      <c r="G37" s="5041"/>
      <c r="H37" s="5041"/>
      <c r="I37" s="5041"/>
      <c r="J37" s="5041"/>
      <c r="K37" s="5041"/>
      <c r="L37" s="5041"/>
      <c r="M37" s="5042"/>
      <c r="N37" s="4759" t="s">
        <v>1607</v>
      </c>
      <c r="O37" s="4762"/>
      <c r="P37" s="4762"/>
      <c r="Q37" s="4762"/>
      <c r="R37" s="4762"/>
      <c r="S37" s="4762"/>
      <c r="T37" s="4763"/>
      <c r="V37" s="2882">
        <v>3</v>
      </c>
      <c r="W37" s="2876">
        <v>2.5000000000000001E-2</v>
      </c>
      <c r="X37" s="2988"/>
      <c r="Y37" s="2979"/>
      <c r="Z37" s="2989" t="str">
        <f t="shared" ref="Z37:Z39" si="7">IF(X37="","",X37+(Y37*0.75))</f>
        <v/>
      </c>
      <c r="AA37" s="2980" t="str">
        <f t="shared" ref="AA37:AA40" si="8">IF(Z37="","",(X37+(Y37))/365)</f>
        <v/>
      </c>
      <c r="AB37" s="2883" t="e">
        <f>AA37/$AA$40</f>
        <v>#VALUE!</v>
      </c>
      <c r="AC37" s="2953"/>
      <c r="AD37" s="2884"/>
      <c r="AE37" s="2982" t="e">
        <f>$AD$35*AB37/365</f>
        <v>#VALUE!</v>
      </c>
      <c r="AF37" s="2914" t="e">
        <f>AE37*W37</f>
        <v>#VALUE!</v>
      </c>
      <c r="AG37" s="2902"/>
      <c r="AH37" s="2902"/>
      <c r="AI37" s="2898"/>
    </row>
    <row r="38" spans="1:37" ht="18" customHeight="1">
      <c r="A38" s="2047"/>
      <c r="B38" s="2713"/>
      <c r="C38" s="5036"/>
      <c r="D38" s="5037"/>
      <c r="E38" s="5037"/>
      <c r="F38" s="5037"/>
      <c r="G38" s="5037"/>
      <c r="H38" s="5037"/>
      <c r="I38" s="5037"/>
      <c r="J38" s="5037"/>
      <c r="K38" s="5037"/>
      <c r="L38" s="5037"/>
      <c r="M38" s="5038"/>
      <c r="N38" s="2761" t="s">
        <v>1608</v>
      </c>
      <c r="O38" s="2762"/>
      <c r="P38" s="2762"/>
      <c r="Q38" s="2762"/>
      <c r="R38" s="2763"/>
      <c r="S38" s="2801" t="str">
        <f>S35</f>
        <v/>
      </c>
      <c r="T38" s="2799"/>
      <c r="V38" s="2882">
        <v>4</v>
      </c>
      <c r="W38" s="2876">
        <v>3.2000000000000001E-2</v>
      </c>
      <c r="X38" s="2988"/>
      <c r="Y38" s="2979"/>
      <c r="Z38" s="2989" t="str">
        <f t="shared" si="7"/>
        <v/>
      </c>
      <c r="AA38" s="2980" t="str">
        <f t="shared" si="8"/>
        <v/>
      </c>
      <c r="AB38" s="2883" t="e">
        <f>AA38/$AA$40</f>
        <v>#VALUE!</v>
      </c>
      <c r="AC38" s="2953"/>
      <c r="AD38" s="2884"/>
      <c r="AE38" s="2982" t="e">
        <f>$AD$35*AB38/365</f>
        <v>#VALUE!</v>
      </c>
      <c r="AF38" s="2914" t="e">
        <f>AE38*W38</f>
        <v>#VALUE!</v>
      </c>
      <c r="AG38" s="2903"/>
      <c r="AH38" s="2903"/>
      <c r="AI38" s="2903"/>
      <c r="AK38" s="2960"/>
    </row>
    <row r="39" spans="1:37" ht="18" customHeight="1" thickBot="1">
      <c r="A39" s="2047"/>
      <c r="B39" s="2713"/>
      <c r="C39" s="5028"/>
      <c r="D39" s="5029"/>
      <c r="E39" s="5029"/>
      <c r="F39" s="5029"/>
      <c r="G39" s="5029"/>
      <c r="H39" s="5029"/>
      <c r="I39" s="5029"/>
      <c r="J39" s="5029"/>
      <c r="K39" s="5029"/>
      <c r="L39" s="5029"/>
      <c r="M39" s="5030"/>
      <c r="N39" s="2764"/>
      <c r="O39" s="2765"/>
      <c r="P39" s="2765"/>
      <c r="Q39" s="2765"/>
      <c r="R39" s="2766"/>
      <c r="S39" s="2802"/>
      <c r="T39" s="232" t="s">
        <v>1632</v>
      </c>
      <c r="V39" s="2882">
        <v>5</v>
      </c>
      <c r="W39" s="2876">
        <v>3.5999999999999997E-2</v>
      </c>
      <c r="X39" s="2988"/>
      <c r="Y39" s="2979"/>
      <c r="Z39" s="2989" t="str">
        <f t="shared" si="7"/>
        <v/>
      </c>
      <c r="AA39" s="2980" t="str">
        <f t="shared" si="8"/>
        <v/>
      </c>
      <c r="AB39" s="2883" t="e">
        <f>AA39/$AA$40</f>
        <v>#VALUE!</v>
      </c>
      <c r="AC39" s="2953"/>
      <c r="AD39" s="2884"/>
      <c r="AE39" s="2982" t="e">
        <f>$AD$35*AB39/365</f>
        <v>#VALUE!</v>
      </c>
      <c r="AF39" s="2914" t="e">
        <f>AE39*W39</f>
        <v>#VALUE!</v>
      </c>
    </row>
    <row r="40" spans="1:37" ht="18" customHeight="1" thickBot="1">
      <c r="A40" s="2047"/>
      <c r="B40" s="2713"/>
      <c r="C40" s="5028"/>
      <c r="D40" s="5029"/>
      <c r="E40" s="5029"/>
      <c r="F40" s="5029"/>
      <c r="G40" s="5029"/>
      <c r="H40" s="5029"/>
      <c r="I40" s="5029"/>
      <c r="J40" s="5029"/>
      <c r="K40" s="5029"/>
      <c r="L40" s="5029"/>
      <c r="M40" s="5030"/>
      <c r="N40" s="2769" t="s">
        <v>1609</v>
      </c>
      <c r="O40" s="2765"/>
      <c r="P40" s="2765"/>
      <c r="Q40" s="2765"/>
      <c r="R40" s="2766"/>
      <c r="S40" s="3244" t="e">
        <f>S38/R9*30.42</f>
        <v>#VALUE!</v>
      </c>
      <c r="T40" s="2799" t="e">
        <f>(S40/C35)-1</f>
        <v>#VALUE!</v>
      </c>
      <c r="V40" s="2875"/>
      <c r="W40" s="2875"/>
      <c r="X40" s="2987">
        <f>SUM(X35:X39)</f>
        <v>0</v>
      </c>
      <c r="Y40" s="2983">
        <f>SUM(Y35:Y39)</f>
        <v>0</v>
      </c>
      <c r="Z40" s="2987">
        <f>SUM(Z35:Z39)</f>
        <v>0</v>
      </c>
      <c r="AA40" s="2980">
        <f t="shared" si="8"/>
        <v>0</v>
      </c>
      <c r="AB40" s="2990" t="e">
        <f>SUM(AB35:AB39)</f>
        <v>#VALUE!</v>
      </c>
      <c r="AC40" s="2954"/>
      <c r="AD40" s="2915"/>
      <c r="AE40" s="2992" t="e">
        <f>SUM(AE35:AE39)</f>
        <v>#VALUE!</v>
      </c>
      <c r="AF40" s="2958" t="e">
        <f>SUM(AF35:AF39)</f>
        <v>#VALUE!</v>
      </c>
    </row>
    <row r="41" spans="1:37" ht="18" customHeight="1" thickBot="1">
      <c r="A41" s="2047"/>
      <c r="B41" s="2713"/>
      <c r="C41" s="5028"/>
      <c r="D41" s="5029"/>
      <c r="E41" s="5029"/>
      <c r="F41" s="5029"/>
      <c r="G41" s="5029"/>
      <c r="H41" s="5029"/>
      <c r="I41" s="5029"/>
      <c r="J41" s="5029"/>
      <c r="K41" s="5029"/>
      <c r="L41" s="5029"/>
      <c r="M41" s="5030"/>
      <c r="N41" s="2770" t="s">
        <v>1610</v>
      </c>
      <c r="O41" s="2767"/>
      <c r="P41" s="2767"/>
      <c r="Q41" s="2767"/>
      <c r="R41" s="2768"/>
      <c r="S41" s="2803">
        <f>IF('Copy &amp; Paste'!H12="",0,S38/R9)</f>
        <v>0</v>
      </c>
      <c r="T41" s="2800" t="e">
        <f>(S41/C36)-1</f>
        <v>#DIV/0!</v>
      </c>
      <c r="V41" s="2952"/>
      <c r="Y41" s="2984" t="e">
        <f>Y40/(X40+Y40)</f>
        <v>#DIV/0!</v>
      </c>
      <c r="Z41" s="2984"/>
      <c r="AA41" s="3082" t="e">
        <f>AA40/'Copy &amp; Paste'!H11</f>
        <v>#DIV/0!</v>
      </c>
      <c r="AB41" s="2991" t="s">
        <v>1895</v>
      </c>
      <c r="AC41" s="2961"/>
      <c r="AD41" s="2911"/>
      <c r="AE41" s="2993" t="s">
        <v>1897</v>
      </c>
    </row>
    <row r="42" spans="1:37" ht="18" customHeight="1">
      <c r="A42" s="2047"/>
      <c r="B42" s="2713"/>
      <c r="C42" s="5028"/>
      <c r="D42" s="5029"/>
      <c r="E42" s="5029"/>
      <c r="F42" s="5029"/>
      <c r="G42" s="5029"/>
      <c r="H42" s="5029"/>
      <c r="I42" s="5029"/>
      <c r="J42" s="5029"/>
      <c r="K42" s="5029"/>
      <c r="L42" s="5029"/>
      <c r="M42" s="5030"/>
      <c r="N42" s="5018" t="s">
        <v>1629</v>
      </c>
      <c r="O42" s="5019"/>
      <c r="P42" s="5019"/>
      <c r="Q42" s="5019"/>
      <c r="R42" s="5019"/>
      <c r="S42" s="2806">
        <f>SUMIFS(O15:O34,E15:E34,"1a: abgeschlossene Ausbildung vorhanden")</f>
        <v>0</v>
      </c>
      <c r="T42" s="340" t="str">
        <f>IF(I41="","",(P42/N42-J41/I41)/(J41/I41))</f>
        <v/>
      </c>
    </row>
    <row r="43" spans="1:37" ht="18" customHeight="1">
      <c r="A43" s="2047"/>
      <c r="B43" s="2713"/>
      <c r="C43" s="5028"/>
      <c r="D43" s="5029"/>
      <c r="E43" s="5029"/>
      <c r="F43" s="5029"/>
      <c r="G43" s="5029"/>
      <c r="H43" s="5029"/>
      <c r="I43" s="5029"/>
      <c r="J43" s="5029"/>
      <c r="K43" s="5029"/>
      <c r="L43" s="5029"/>
      <c r="M43" s="5030"/>
      <c r="N43" s="5020" t="s">
        <v>1631</v>
      </c>
      <c r="O43" s="5021"/>
      <c r="P43" s="5021"/>
      <c r="Q43" s="5021"/>
      <c r="R43" s="5021"/>
      <c r="S43" s="2805">
        <f>SUMIFS(O15:O34,E15:E34,"1b: berufsbegleitende Ausbildung wurde begonnen")</f>
        <v>0</v>
      </c>
      <c r="T43" s="341" t="str">
        <f>IF(I43="","",(P43/O43-J43/I43)/(J43/I43))</f>
        <v/>
      </c>
    </row>
    <row r="44" spans="1:37" ht="18" customHeight="1" thickBot="1">
      <c r="A44" s="2052"/>
      <c r="B44" s="2714"/>
      <c r="C44" s="5031"/>
      <c r="D44" s="5032"/>
      <c r="E44" s="5032"/>
      <c r="F44" s="5032"/>
      <c r="G44" s="5032"/>
      <c r="H44" s="5032"/>
      <c r="I44" s="5032"/>
      <c r="J44" s="5032"/>
      <c r="K44" s="5032"/>
      <c r="L44" s="5032"/>
      <c r="M44" s="5033"/>
      <c r="N44" s="5022" t="s">
        <v>1630</v>
      </c>
      <c r="O44" s="5023"/>
      <c r="P44" s="5023"/>
      <c r="Q44" s="5023"/>
      <c r="R44" s="5023"/>
      <c r="S44" s="2807">
        <f>SUMIFS(O15:O34,E15:E34,"1c: berufsbegleitende Ausbildung wird in den nächsten 2 Jahren begonnen")</f>
        <v>0</v>
      </c>
      <c r="T44" s="341" t="str">
        <f>IF(I44="","",(P44/N44-J44/I44)/(J44/I44))</f>
        <v/>
      </c>
    </row>
    <row r="45" spans="1:37" ht="13.5" thickBot="1">
      <c r="A45" s="239"/>
      <c r="B45" s="240"/>
      <c r="C45" s="240"/>
      <c r="D45" s="240"/>
      <c r="E45" s="240"/>
      <c r="F45" s="240"/>
      <c r="G45" s="240"/>
      <c r="H45" s="240"/>
      <c r="I45" s="241"/>
      <c r="J45" s="242"/>
      <c r="K45" s="242"/>
      <c r="L45" s="242"/>
      <c r="M45" s="242"/>
      <c r="N45" s="242"/>
      <c r="O45" s="242"/>
      <c r="P45" s="242"/>
      <c r="Q45" s="242"/>
      <c r="R45" s="242"/>
      <c r="S45" s="2806">
        <f>SUM(S42:S44)</f>
        <v>0</v>
      </c>
      <c r="T45" s="243"/>
      <c r="V45" s="2030"/>
      <c r="W45" s="2030"/>
      <c r="X45" s="2030"/>
      <c r="Y45" s="2030"/>
      <c r="Z45" s="2030"/>
      <c r="AA45" s="2030"/>
      <c r="AB45" s="2030"/>
      <c r="AC45" s="2030"/>
      <c r="AD45" s="2030"/>
      <c r="AE45" s="2030"/>
      <c r="AF45" s="2030"/>
      <c r="AG45" s="2030"/>
      <c r="AH45" s="2030"/>
      <c r="AI45" s="2030"/>
      <c r="AJ45" s="2030"/>
    </row>
    <row r="46" spans="1:37">
      <c r="A46" s="2053"/>
      <c r="B46" s="2054"/>
      <c r="C46" s="2054"/>
      <c r="D46" s="2054"/>
      <c r="E46" s="2054"/>
      <c r="F46" s="2054"/>
      <c r="G46" s="2054"/>
      <c r="H46" s="2054"/>
      <c r="I46" s="2054"/>
      <c r="J46" s="2054"/>
      <c r="K46" s="2054"/>
      <c r="L46" s="2054"/>
      <c r="M46" s="2054"/>
      <c r="N46" s="2054"/>
      <c r="O46" s="2054"/>
      <c r="P46" s="2054"/>
      <c r="Q46" s="2054"/>
      <c r="R46" s="2054"/>
      <c r="S46" s="2054"/>
      <c r="T46" s="2055"/>
      <c r="V46" s="2903"/>
      <c r="W46" s="2903"/>
      <c r="X46" s="2903"/>
      <c r="Y46" s="2903"/>
      <c r="Z46" s="2903"/>
      <c r="AA46" s="2903"/>
      <c r="AB46" s="2903"/>
      <c r="AC46" s="2903"/>
      <c r="AD46" s="2903"/>
      <c r="AE46" s="2903"/>
      <c r="AF46" s="2903"/>
      <c r="AG46" s="2903"/>
      <c r="AH46" s="2903"/>
      <c r="AI46" s="2903"/>
      <c r="AJ46" s="2946"/>
    </row>
    <row r="47" spans="1:37" ht="17.25">
      <c r="A47" s="2046"/>
      <c r="B47" s="2056" t="s">
        <v>1528</v>
      </c>
      <c r="C47" s="2056"/>
      <c r="D47" s="2056"/>
      <c r="E47" s="2057"/>
      <c r="F47" s="2057"/>
      <c r="G47" s="2044"/>
      <c r="H47" s="2044"/>
      <c r="I47" s="2044"/>
      <c r="J47" s="2044"/>
      <c r="K47" s="2044"/>
      <c r="L47" s="2044"/>
      <c r="M47" s="2044"/>
      <c r="N47" s="2044"/>
      <c r="O47" s="2044"/>
      <c r="P47" s="2853" t="s">
        <v>1826</v>
      </c>
      <c r="Q47" s="2854"/>
      <c r="R47" s="2854"/>
      <c r="S47" s="2758"/>
      <c r="T47" s="2045"/>
      <c r="U47" s="2059">
        <f>'84 8 Übersicht'!D15</f>
        <v>0</v>
      </c>
      <c r="V47" s="2903"/>
      <c r="W47" s="2903"/>
      <c r="X47" s="2903"/>
      <c r="Y47" s="2903"/>
      <c r="Z47" s="2903"/>
      <c r="AA47" s="2903"/>
      <c r="AB47" s="2903"/>
      <c r="AC47" s="2903"/>
      <c r="AD47" s="2903"/>
      <c r="AE47" s="2903"/>
      <c r="AF47" s="2903"/>
      <c r="AG47" s="2947"/>
      <c r="AH47" s="2947"/>
      <c r="AI47" s="2948"/>
      <c r="AJ47" s="2946"/>
    </row>
    <row r="48" spans="1:37">
      <c r="A48" s="2040"/>
      <c r="B48" s="2044" t="s">
        <v>1823</v>
      </c>
      <c r="C48" s="2044"/>
      <c r="D48" s="2044"/>
      <c r="E48" s="2044"/>
      <c r="F48" s="2044"/>
      <c r="G48" s="2044"/>
      <c r="H48" s="2044"/>
      <c r="I48" s="2044"/>
      <c r="J48" s="2044"/>
      <c r="K48" s="2044"/>
      <c r="L48" s="2044"/>
      <c r="M48" s="2044"/>
      <c r="N48" s="2044"/>
      <c r="O48" s="2044"/>
      <c r="P48" s="2853" t="s">
        <v>1827</v>
      </c>
      <c r="Q48" s="2759"/>
      <c r="R48" s="2759"/>
      <c r="S48" s="2759"/>
      <c r="T48" s="2045"/>
      <c r="V48" s="2903"/>
      <c r="W48" s="2903"/>
      <c r="X48" s="2903"/>
      <c r="Y48" s="2903"/>
      <c r="Z48" s="2903"/>
      <c r="AA48" s="2903"/>
      <c r="AB48" s="2903"/>
      <c r="AC48" s="2903"/>
      <c r="AD48" s="2903"/>
      <c r="AE48" s="2903"/>
      <c r="AF48" s="2903"/>
      <c r="AG48" s="2949"/>
      <c r="AH48" s="2949"/>
      <c r="AI48" s="2949"/>
      <c r="AJ48" s="2946"/>
    </row>
    <row r="49" spans="1:36" ht="15.75">
      <c r="A49" s="2040"/>
      <c r="B49" s="2044" t="s">
        <v>1824</v>
      </c>
      <c r="C49" s="2044"/>
      <c r="D49" s="2044"/>
      <c r="E49" s="2044"/>
      <c r="F49" s="2044"/>
      <c r="G49" s="2044"/>
      <c r="H49" s="2044"/>
      <c r="I49" s="2044"/>
      <c r="J49" s="2044"/>
      <c r="K49" s="2044"/>
      <c r="L49" s="2044"/>
      <c r="M49" s="2044"/>
      <c r="N49" s="2044"/>
      <c r="O49" s="2044"/>
      <c r="P49" s="2044" t="s">
        <v>1828</v>
      </c>
      <c r="Q49" s="2759"/>
      <c r="R49" s="2760"/>
      <c r="S49" s="2758"/>
      <c r="T49" s="2045"/>
      <c r="V49" s="2903"/>
      <c r="W49" s="2903"/>
      <c r="X49" s="2903"/>
      <c r="Y49" s="2903"/>
      <c r="Z49" s="2903"/>
      <c r="AA49" s="2903"/>
      <c r="AB49" s="2903"/>
      <c r="AC49" s="2903"/>
      <c r="AD49" s="2903"/>
      <c r="AE49" s="2903"/>
      <c r="AF49" s="2903"/>
      <c r="AG49" s="2949"/>
      <c r="AH49" s="2950"/>
      <c r="AI49" s="2948"/>
      <c r="AJ49" s="2946"/>
    </row>
    <row r="50" spans="1:36">
      <c r="A50" s="2040"/>
      <c r="B50" s="2044" t="s">
        <v>1825</v>
      </c>
      <c r="C50" s="2044"/>
      <c r="D50" s="2044"/>
      <c r="E50" s="2044"/>
      <c r="F50" s="2044"/>
      <c r="G50" s="2044"/>
      <c r="H50" s="2044"/>
      <c r="I50" s="2044"/>
      <c r="J50" s="2044"/>
      <c r="K50" s="2044"/>
      <c r="L50" s="2044"/>
      <c r="M50" s="2044"/>
      <c r="N50" s="2044"/>
      <c r="O50" s="2044"/>
      <c r="Q50" s="2044"/>
      <c r="R50" s="2044"/>
      <c r="S50" s="2044"/>
      <c r="T50" s="2045"/>
      <c r="V50" s="2903"/>
      <c r="W50" s="2903"/>
      <c r="X50" s="2903"/>
      <c r="Y50" s="2903"/>
      <c r="Z50" s="2903"/>
      <c r="AA50" s="2903"/>
      <c r="AB50" s="2903"/>
      <c r="AC50" s="2903"/>
      <c r="AD50" s="2903"/>
      <c r="AE50" s="2903"/>
      <c r="AF50" s="2903"/>
      <c r="AG50" s="2903"/>
      <c r="AH50" s="2903"/>
      <c r="AI50" s="2903"/>
      <c r="AJ50" s="2946"/>
    </row>
    <row r="51" spans="1:36">
      <c r="A51" s="2040"/>
      <c r="B51" s="2044"/>
      <c r="C51" s="2044"/>
      <c r="D51" s="2044"/>
      <c r="E51" s="2044"/>
      <c r="F51" s="2044"/>
      <c r="G51" s="2044"/>
      <c r="H51" s="2044"/>
      <c r="I51" s="2044"/>
      <c r="J51" s="2044"/>
      <c r="K51" s="2044"/>
      <c r="L51" s="2044"/>
      <c r="M51" s="2044"/>
      <c r="N51" s="2044"/>
      <c r="O51" s="2044"/>
      <c r="P51" s="2044"/>
      <c r="Q51" s="2044"/>
      <c r="R51" s="2044"/>
      <c r="S51" s="2044"/>
      <c r="T51" s="2045"/>
      <c r="V51" s="2903"/>
      <c r="W51" s="2903"/>
      <c r="X51" s="2903"/>
      <c r="Y51" s="2903"/>
      <c r="Z51" s="2903"/>
      <c r="AA51" s="2903"/>
      <c r="AB51" s="2903"/>
      <c r="AC51" s="2903"/>
      <c r="AD51" s="2903"/>
      <c r="AE51" s="2903"/>
      <c r="AF51" s="2903"/>
      <c r="AG51" s="2903"/>
      <c r="AH51" s="2903"/>
      <c r="AI51" s="2903"/>
      <c r="AJ51" s="2946"/>
    </row>
    <row r="52" spans="1:36">
      <c r="A52" s="2040"/>
      <c r="B52" s="2044"/>
      <c r="C52" s="2044"/>
      <c r="D52" s="2044"/>
      <c r="E52" s="2044"/>
      <c r="F52" s="2044"/>
      <c r="G52" s="2042"/>
      <c r="H52" s="2042"/>
      <c r="I52" s="2044"/>
      <c r="J52" s="2044"/>
      <c r="K52" s="2044"/>
      <c r="L52" s="2044"/>
      <c r="M52" s="2044"/>
      <c r="N52" s="2044"/>
      <c r="O52" s="2044"/>
      <c r="P52" s="2044"/>
      <c r="Q52" s="2044"/>
      <c r="R52" s="2044"/>
      <c r="S52" s="2044"/>
      <c r="T52" s="2045"/>
      <c r="V52" s="2903"/>
      <c r="W52" s="2903"/>
      <c r="X52" s="2903"/>
      <c r="Y52" s="2903"/>
      <c r="Z52" s="2903"/>
      <c r="AA52" s="2903"/>
      <c r="AB52" s="2903"/>
      <c r="AC52" s="2903"/>
      <c r="AD52" s="2903"/>
      <c r="AE52" s="2903"/>
      <c r="AF52" s="2903"/>
      <c r="AG52" s="2903"/>
      <c r="AH52" s="2903"/>
      <c r="AI52" s="2903"/>
      <c r="AJ52" s="2946"/>
    </row>
    <row r="53" spans="1:36" ht="16.5" thickBot="1">
      <c r="A53" s="2046"/>
      <c r="B53" s="2044"/>
      <c r="C53" s="2044"/>
      <c r="D53" s="2044"/>
      <c r="E53" s="2044"/>
      <c r="F53" s="2044"/>
      <c r="G53" s="2044"/>
      <c r="H53" s="2044"/>
      <c r="I53" s="2044"/>
      <c r="J53" s="2044"/>
      <c r="K53" s="2061" t="str">
        <f ca="1">'84 8 Übersicht'!D10&amp;", "&amp;TEXT(TODAY(),"TT.MM.JJJJ")</f>
        <v>0, 03.04.2025</v>
      </c>
      <c r="L53" s="2062"/>
      <c r="M53" s="2062"/>
      <c r="N53" s="2044"/>
      <c r="O53" s="2044"/>
      <c r="P53" s="2062"/>
      <c r="Q53" s="2062"/>
      <c r="R53" s="2062"/>
      <c r="S53" s="2062"/>
      <c r="T53" s="2063"/>
      <c r="V53" s="2903"/>
      <c r="W53" s="2903"/>
      <c r="X53" s="2903"/>
      <c r="Y53" s="2899"/>
      <c r="Z53" s="2899"/>
      <c r="AA53" s="2903"/>
      <c r="AB53" s="2903"/>
      <c r="AC53" s="2903"/>
      <c r="AD53" s="2903"/>
      <c r="AE53" s="2903"/>
      <c r="AF53" s="2903"/>
      <c r="AG53" s="2903"/>
      <c r="AH53" s="2903"/>
      <c r="AI53" s="2903"/>
      <c r="AJ53" s="2946"/>
    </row>
    <row r="54" spans="1:36" ht="13.5" thickBot="1">
      <c r="A54" s="2052"/>
      <c r="B54" s="2064"/>
      <c r="C54" s="2064"/>
      <c r="D54" s="2064"/>
      <c r="E54" s="2064"/>
      <c r="F54" s="2064"/>
      <c r="G54" s="2064"/>
      <c r="H54" s="2064"/>
      <c r="I54" s="2062"/>
      <c r="J54" s="2065"/>
      <c r="K54" s="4774" t="s">
        <v>1143</v>
      </c>
      <c r="L54" s="4774"/>
      <c r="M54" s="4774"/>
      <c r="N54" s="2064"/>
      <c r="O54" s="2066"/>
      <c r="P54" s="4774" t="s">
        <v>1144</v>
      </c>
      <c r="Q54" s="4774"/>
      <c r="R54" s="4774"/>
      <c r="S54" s="4774"/>
      <c r="T54" s="4775"/>
      <c r="V54" s="2903"/>
      <c r="W54" s="2903"/>
      <c r="X54" s="2903"/>
      <c r="Y54" s="2903"/>
      <c r="Z54" s="2903"/>
      <c r="AA54" s="2903"/>
      <c r="AB54" s="2903"/>
      <c r="AC54" s="2951"/>
      <c r="AD54" s="3024"/>
      <c r="AE54" s="2903"/>
      <c r="AF54" s="2903"/>
      <c r="AH54" s="2946"/>
      <c r="AI54" s="2946"/>
      <c r="AJ54" s="2946"/>
    </row>
    <row r="55" spans="1:36">
      <c r="V55" s="3023"/>
      <c r="W55" s="2903"/>
      <c r="X55" s="2903"/>
      <c r="Y55" s="2903"/>
      <c r="Z55" s="2903"/>
      <c r="AA55" s="2903"/>
      <c r="AB55" s="2903"/>
      <c r="AC55" s="2903"/>
      <c r="AD55" s="2903"/>
      <c r="AE55" s="2903"/>
      <c r="AF55" s="2903"/>
      <c r="AH55" s="2030"/>
      <c r="AI55" s="2030"/>
      <c r="AJ55" s="2030"/>
    </row>
    <row r="56" spans="1:36">
      <c r="B56" s="4768"/>
      <c r="C56" s="4768"/>
      <c r="D56" s="4768"/>
      <c r="E56" s="4768"/>
      <c r="F56" s="2912"/>
      <c r="V56" s="2903"/>
      <c r="W56" s="2903"/>
      <c r="X56" s="2903"/>
      <c r="Y56" s="2903"/>
      <c r="Z56" s="2903"/>
      <c r="AA56" s="2903"/>
      <c r="AB56" s="2903"/>
      <c r="AC56" s="2903"/>
      <c r="AD56" s="2903"/>
      <c r="AE56" s="2903"/>
      <c r="AF56" s="2903"/>
      <c r="AH56" s="2030"/>
      <c r="AI56" s="2030"/>
      <c r="AJ56" s="2030"/>
    </row>
    <row r="57" spans="1:36" ht="15.75">
      <c r="B57" s="4768"/>
      <c r="C57" s="4768"/>
      <c r="D57" s="4768"/>
      <c r="E57" s="4768"/>
      <c r="F57" s="2912"/>
      <c r="V57" s="2904"/>
      <c r="W57" s="2908"/>
      <c r="X57" s="2904"/>
      <c r="Y57" s="2904"/>
      <c r="Z57" s="2995"/>
      <c r="AA57" s="2904"/>
      <c r="AB57" s="2904"/>
      <c r="AC57" s="2888"/>
      <c r="AD57" s="2889"/>
      <c r="AE57" s="2904"/>
      <c r="AF57" s="2904"/>
    </row>
    <row r="58" spans="1:36" ht="15.75">
      <c r="V58" s="2905"/>
      <c r="W58" s="2909"/>
      <c r="X58" s="2904"/>
      <c r="Y58" s="2904"/>
      <c r="Z58" s="2995"/>
      <c r="AA58" s="2904"/>
      <c r="AB58" s="2904"/>
      <c r="AC58" s="2890"/>
      <c r="AD58" s="2891"/>
      <c r="AE58" s="3029"/>
      <c r="AF58" s="3029"/>
    </row>
    <row r="59" spans="1:36" ht="15.75">
      <c r="V59" s="2905"/>
      <c r="W59" s="2909"/>
      <c r="X59" s="2904"/>
      <c r="Y59" s="2904"/>
      <c r="Z59" s="2995"/>
      <c r="AA59" s="2904"/>
      <c r="AB59" s="2904"/>
      <c r="AC59" s="3025"/>
      <c r="AD59" s="2891"/>
      <c r="AE59" s="3029"/>
      <c r="AF59" s="3029"/>
    </row>
    <row r="60" spans="1:36" ht="15.75">
      <c r="V60" s="2905"/>
      <c r="W60" s="2909"/>
      <c r="X60" s="3013"/>
      <c r="Y60" s="3013"/>
      <c r="Z60" s="3012"/>
      <c r="AA60" s="3013"/>
      <c r="AB60" s="3014"/>
      <c r="AC60" s="3026"/>
      <c r="AD60" s="2891"/>
      <c r="AE60" s="3029"/>
      <c r="AF60" s="3029"/>
    </row>
    <row r="61" spans="1:36" ht="15.75">
      <c r="V61" s="2905"/>
      <c r="W61" s="2909"/>
      <c r="X61" s="3013"/>
      <c r="Y61" s="3013"/>
      <c r="Z61" s="3012"/>
      <c r="AA61" s="3013"/>
      <c r="AB61" s="3014"/>
      <c r="AC61" s="3025"/>
      <c r="AD61" s="2893"/>
      <c r="AE61" s="3029"/>
      <c r="AF61" s="3029"/>
    </row>
    <row r="62" spans="1:36" ht="15.75">
      <c r="V62" s="2889"/>
      <c r="W62" s="2894"/>
      <c r="X62" s="3027"/>
      <c r="Y62" s="3027"/>
      <c r="Z62" s="3027"/>
      <c r="AA62" s="2893"/>
      <c r="AB62" s="2895"/>
      <c r="AC62" s="3017"/>
      <c r="AD62" s="2901"/>
      <c r="AE62" s="2896"/>
      <c r="AF62" s="3005"/>
    </row>
    <row r="63" spans="1:36" ht="15.75">
      <c r="B63" s="2024" t="s">
        <v>1594</v>
      </c>
      <c r="V63" s="2889"/>
      <c r="W63" s="2894"/>
      <c r="X63" s="3027"/>
      <c r="Y63" s="3027"/>
      <c r="Z63" s="3027"/>
      <c r="AA63" s="2893"/>
      <c r="AB63" s="2895"/>
      <c r="AC63" s="3017"/>
      <c r="AD63" s="2896"/>
      <c r="AE63" s="2896"/>
      <c r="AF63" s="3005"/>
    </row>
    <row r="64" spans="1:36" ht="15.75">
      <c r="B64" s="2024" t="s">
        <v>1595</v>
      </c>
      <c r="V64" s="2889"/>
      <c r="W64" s="2894"/>
      <c r="X64" s="3027"/>
      <c r="Y64" s="3027"/>
      <c r="Z64" s="3027"/>
      <c r="AA64" s="2893"/>
      <c r="AB64" s="2895"/>
      <c r="AC64" s="3017"/>
      <c r="AD64" s="2896"/>
      <c r="AE64" s="2896"/>
      <c r="AF64" s="3005"/>
    </row>
    <row r="65" spans="2:32" ht="15.75">
      <c r="B65" s="2024" t="s">
        <v>1596</v>
      </c>
      <c r="V65" s="2889"/>
      <c r="W65" s="2894"/>
      <c r="X65" s="3027"/>
      <c r="Y65" s="3027"/>
      <c r="Z65" s="3027"/>
      <c r="AA65" s="2893"/>
      <c r="AB65" s="2895"/>
      <c r="AC65" s="3017"/>
      <c r="AD65" s="2896"/>
      <c r="AE65" s="2896"/>
      <c r="AF65" s="3005"/>
    </row>
    <row r="66" spans="2:32" ht="15.75">
      <c r="V66" s="2889"/>
      <c r="W66" s="2894"/>
      <c r="X66" s="3027"/>
      <c r="Y66" s="3027"/>
      <c r="Z66" s="3027"/>
      <c r="AA66" s="2893"/>
      <c r="AB66" s="2895"/>
      <c r="AC66" s="3017"/>
      <c r="AD66" s="2896"/>
      <c r="AE66" s="2896"/>
      <c r="AF66" s="3005"/>
    </row>
    <row r="67" spans="2:32" ht="15.75">
      <c r="V67" s="2899"/>
      <c r="W67" s="2899"/>
      <c r="X67" s="3002"/>
      <c r="Y67" s="3002"/>
      <c r="Z67" s="3002"/>
      <c r="AA67" s="2893"/>
      <c r="AB67" s="2900"/>
      <c r="AC67" s="3017"/>
      <c r="AD67" s="2896"/>
      <c r="AE67" s="2896"/>
      <c r="AF67" s="3005"/>
    </row>
    <row r="68" spans="2:32" ht="15.75">
      <c r="V68" s="3007"/>
      <c r="W68" s="2903"/>
      <c r="X68" s="2903"/>
      <c r="Y68" s="3028"/>
      <c r="Z68" s="3028"/>
      <c r="AA68" s="3008"/>
      <c r="AB68" s="2903"/>
      <c r="AC68" s="3009"/>
      <c r="AD68" s="3010"/>
      <c r="AE68" s="2903"/>
      <c r="AF68" s="2903"/>
    </row>
    <row r="69" spans="2:32">
      <c r="V69" s="2903"/>
      <c r="W69" s="2903"/>
      <c r="X69" s="2903"/>
      <c r="Y69" s="2903"/>
      <c r="Z69" s="2903"/>
      <c r="AA69" s="2903"/>
      <c r="AB69" s="2903"/>
      <c r="AC69" s="2903"/>
      <c r="AD69" s="2903"/>
      <c r="AE69" s="2903"/>
      <c r="AF69" s="2903"/>
    </row>
    <row r="70" spans="2:32">
      <c r="V70" s="2903"/>
      <c r="W70" s="2903"/>
      <c r="X70" s="2903"/>
      <c r="Y70" s="2903"/>
      <c r="Z70" s="2903"/>
      <c r="AA70" s="2903"/>
      <c r="AB70" s="2903"/>
      <c r="AC70" s="2903"/>
      <c r="AD70" s="2903"/>
      <c r="AE70" s="2903"/>
      <c r="AF70" s="2903"/>
    </row>
    <row r="71" spans="2:32">
      <c r="V71" s="2903"/>
      <c r="W71" s="2903"/>
      <c r="X71" s="2903"/>
      <c r="Y71" s="2903"/>
      <c r="Z71" s="2903"/>
      <c r="AA71" s="2903"/>
      <c r="AB71" s="2903"/>
      <c r="AC71" s="2903"/>
      <c r="AD71" s="2903"/>
      <c r="AE71" s="2903"/>
      <c r="AF71" s="2903"/>
    </row>
  </sheetData>
  <mergeCells count="74">
    <mergeCell ref="N11:S11"/>
    <mergeCell ref="V26:AF26"/>
    <mergeCell ref="V27:AF27"/>
    <mergeCell ref="V28:AF28"/>
    <mergeCell ref="AB30:AB32"/>
    <mergeCell ref="AE30:AE34"/>
    <mergeCell ref="AF30:AF34"/>
    <mergeCell ref="X33:X34"/>
    <mergeCell ref="Y33:Y34"/>
    <mergeCell ref="AA33:AA34"/>
    <mergeCell ref="AB33:AB34"/>
    <mergeCell ref="V30:V34"/>
    <mergeCell ref="W30:W34"/>
    <mergeCell ref="X30:X32"/>
    <mergeCell ref="Y30:Y32"/>
    <mergeCell ref="AA30:AA32"/>
    <mergeCell ref="C39:M39"/>
    <mergeCell ref="C40:M40"/>
    <mergeCell ref="N12:N13"/>
    <mergeCell ref="O12:O13"/>
    <mergeCell ref="N37:T37"/>
    <mergeCell ref="C41:M41"/>
    <mergeCell ref="C12:C13"/>
    <mergeCell ref="D12:D13"/>
    <mergeCell ref="E27:G27"/>
    <mergeCell ref="E28:G28"/>
    <mergeCell ref="E29:G29"/>
    <mergeCell ref="E30:G30"/>
    <mergeCell ref="E31:G31"/>
    <mergeCell ref="E32:G32"/>
    <mergeCell ref="L12:L13"/>
    <mergeCell ref="C38:M38"/>
    <mergeCell ref="E14:G14"/>
    <mergeCell ref="E24:G24"/>
    <mergeCell ref="E25:G25"/>
    <mergeCell ref="E26:G26"/>
    <mergeCell ref="C37:M37"/>
    <mergeCell ref="B57:E57"/>
    <mergeCell ref="E15:G15"/>
    <mergeCell ref="E16:G16"/>
    <mergeCell ref="E17:G17"/>
    <mergeCell ref="E18:G18"/>
    <mergeCell ref="E19:G19"/>
    <mergeCell ref="E20:G20"/>
    <mergeCell ref="E21:G21"/>
    <mergeCell ref="E22:G22"/>
    <mergeCell ref="E23:G23"/>
    <mergeCell ref="B56:E56"/>
    <mergeCell ref="C42:M42"/>
    <mergeCell ref="C43:M43"/>
    <mergeCell ref="C44:M44"/>
    <mergeCell ref="E33:G33"/>
    <mergeCell ref="E34:G34"/>
    <mergeCell ref="K54:M54"/>
    <mergeCell ref="P54:T54"/>
    <mergeCell ref="N42:R42"/>
    <mergeCell ref="N43:R43"/>
    <mergeCell ref="N44:R44"/>
    <mergeCell ref="B12:B13"/>
    <mergeCell ref="E12:G13"/>
    <mergeCell ref="H12:H13"/>
    <mergeCell ref="I12:I13"/>
    <mergeCell ref="A1:T1"/>
    <mergeCell ref="A2:T2"/>
    <mergeCell ref="K3:M3"/>
    <mergeCell ref="Q3:T3"/>
    <mergeCell ref="B3:E3"/>
    <mergeCell ref="E4:H4"/>
    <mergeCell ref="I9:K9"/>
    <mergeCell ref="N8:Q8"/>
    <mergeCell ref="I10:J10"/>
    <mergeCell ref="K10:L10"/>
    <mergeCell ref="N10:P10"/>
    <mergeCell ref="I11:M11"/>
  </mergeCells>
  <conditionalFormatting sqref="S47">
    <cfRule type="expression" dxfId="26" priority="15" stopIfTrue="1">
      <formula>U47="ja"</formula>
    </cfRule>
    <cfRule type="expression" dxfId="25" priority="16" stopIfTrue="1">
      <formula>ISERROR(S47)</formula>
    </cfRule>
  </conditionalFormatting>
  <conditionalFormatting sqref="S44">
    <cfRule type="containsErrors" dxfId="24" priority="20" stopIfTrue="1">
      <formula>ISERROR(S44)</formula>
    </cfRule>
  </conditionalFormatting>
  <conditionalFormatting sqref="T15:T34">
    <cfRule type="containsErrors" dxfId="23" priority="10">
      <formula>ISERROR(T15)</formula>
    </cfRule>
    <cfRule type="containsErrors" dxfId="22" priority="12">
      <formula>ISERROR(T15)</formula>
    </cfRule>
    <cfRule type="expression" dxfId="21" priority="17" stopIfTrue="1">
      <formula>ISERROR(T15)</formula>
    </cfRule>
  </conditionalFormatting>
  <conditionalFormatting sqref="B3:B4 G3:T3 I4:T4 B6 G5:T5 I6:T6 T4:T5">
    <cfRule type="cellIs" dxfId="20" priority="13" operator="equal">
      <formula>0</formula>
    </cfRule>
  </conditionalFormatting>
  <conditionalFormatting sqref="S42">
    <cfRule type="cellIs" dxfId="19" priority="11" operator="equal">
      <formula>0</formula>
    </cfRule>
  </conditionalFormatting>
  <conditionalFormatting sqref="S49">
    <cfRule type="expression" dxfId="18" priority="8" stopIfTrue="1">
      <formula>U49="ja"</formula>
    </cfRule>
    <cfRule type="expression" dxfId="17" priority="9" stopIfTrue="1">
      <formula>ISERROR(S49)</formula>
    </cfRule>
  </conditionalFormatting>
  <conditionalFormatting sqref="S45">
    <cfRule type="cellIs" dxfId="16" priority="7" operator="equal">
      <formula>0</formula>
    </cfRule>
  </conditionalFormatting>
  <conditionalFormatting sqref="AI47">
    <cfRule type="expression" dxfId="15" priority="5" stopIfTrue="1">
      <formula>AK47="ja"</formula>
    </cfRule>
    <cfRule type="expression" dxfId="14" priority="6" stopIfTrue="1">
      <formula>ISERROR(AI47)</formula>
    </cfRule>
  </conditionalFormatting>
  <conditionalFormatting sqref="AI49">
    <cfRule type="expression" dxfId="13" priority="3" stopIfTrue="1">
      <formula>AK49="ja"</formula>
    </cfRule>
    <cfRule type="expression" dxfId="12" priority="4" stopIfTrue="1">
      <formula>ISERROR(AI49)</formula>
    </cfRule>
  </conditionalFormatting>
  <conditionalFormatting sqref="D9">
    <cfRule type="cellIs" dxfId="11" priority="1" operator="equal">
      <formula>"Ergebnis"</formula>
    </cfRule>
    <cfRule type="cellIs" dxfId="10" priority="2" operator="equal">
      <formula>"Forderung"</formula>
    </cfRule>
  </conditionalFormatting>
  <dataValidations count="4">
    <dataValidation type="list" allowBlank="1" showInputMessage="1" showErrorMessage="1" sqref="E15:G34">
      <formula1>$B$63:$B$65</formula1>
    </dataValidation>
    <dataValidation type="list" allowBlank="1" showInputMessage="1" showErrorMessage="1" promptTitle="Bitten wählen Sie Ihr Tarifwerk " sqref="D8">
      <formula1>"kein Tarifvertrag,AVR CV,AVR DD,AVR J,AWO NRW,BAT KF,AGB-Pari,TVöD,Haustarifvertrag,Anlehnung an TVöD"</formula1>
    </dataValidation>
    <dataValidation type="list" allowBlank="1" showInputMessage="1" showErrorMessage="1" sqref="D9">
      <formula1>"Forderung,Angebot,Nachforderung,Ergebnis"</formula1>
    </dataValidation>
    <dataValidation type="list" allowBlank="1" showInputMessage="1" showErrorMessage="1" promptTitle="Bitten wählen Sie Ihr Tarifwerk " sqref="D5">
      <formula1>"reg. übl. Entgeltniveau,AVR CV,AVR DD,AVR J,AWO NRW,BAT KF,AGB-Pari,TVöD,Haustarifvertrag,Anlehnung an TVöD,Anlehnung an AVR CV,Anlehnung an AVR DD,Anlehnung an AWO NRW,Anlehnung an BAT KF"</formula1>
    </dataValidation>
  </dataValidations>
  <printOptions horizontalCentered="1"/>
  <pageMargins left="0.17" right="0.17" top="0.72" bottom="0.46" header="0.4" footer="0.23622047244094491"/>
  <pageSetup paperSize="9" scale="50" orientation="landscape" r:id="rId1"/>
  <headerFooter alignWithMargins="0">
    <oddFooter>&amp;L&amp;F</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4">
    <tabColor rgb="FFFF0000"/>
  </sheetPr>
  <dimension ref="A1:CQ288"/>
  <sheetViews>
    <sheetView topLeftCell="A205" zoomScale="120" zoomScaleNormal="120" zoomScaleSheetLayoutView="100" workbookViewId="0">
      <selection activeCell="K233" sqref="K233"/>
    </sheetView>
  </sheetViews>
  <sheetFormatPr baseColWidth="10" defaultColWidth="11.42578125" defaultRowHeight="18" customHeight="1"/>
  <cols>
    <col min="1" max="1" width="3.42578125" style="53" customWidth="1"/>
    <col min="2" max="2" width="2.42578125" style="53" customWidth="1"/>
    <col min="3" max="3" width="16.7109375" style="53" customWidth="1"/>
    <col min="4" max="4" width="11.42578125" style="53"/>
    <col min="5" max="5" width="10.140625" style="53" customWidth="1"/>
    <col min="6" max="6" width="2.7109375" style="53" customWidth="1"/>
    <col min="7" max="7" width="11.42578125" style="53" customWidth="1"/>
    <col min="8" max="8" width="32.7109375" style="53" customWidth="1"/>
    <col min="9" max="9" width="3.42578125" style="53" customWidth="1"/>
    <col min="10" max="10" width="2.42578125" style="53" customWidth="1"/>
    <col min="11" max="11" width="16.7109375" style="53" customWidth="1"/>
    <col min="12" max="12" width="11.42578125" style="53" customWidth="1"/>
    <col min="13" max="13" width="10.140625" style="53" customWidth="1"/>
    <col min="14" max="14" width="2" style="53" customWidth="1"/>
    <col min="15" max="15" width="11.42578125" style="53" customWidth="1"/>
    <col min="16" max="16" width="32.7109375" style="53" customWidth="1"/>
    <col min="17" max="16384" width="11.42578125" style="53"/>
  </cols>
  <sheetData>
    <row r="1" spans="1:12">
      <c r="A1" s="4615" t="s">
        <v>1702</v>
      </c>
      <c r="B1" s="4615"/>
      <c r="C1" s="4615"/>
      <c r="D1" s="4615"/>
      <c r="E1" s="4615"/>
      <c r="F1" s="4615"/>
      <c r="G1" s="4615"/>
      <c r="H1" s="4615"/>
      <c r="I1" s="4615"/>
      <c r="J1" s="2835"/>
      <c r="K1" s="544">
        <f ca="1">TODAY()</f>
        <v>45750</v>
      </c>
      <c r="L1" s="545" t="s">
        <v>1456</v>
      </c>
    </row>
    <row r="2" spans="1:12" ht="18" customHeight="1">
      <c r="A2" s="4615" t="s">
        <v>1705</v>
      </c>
      <c r="B2" s="4615"/>
      <c r="C2" s="4615"/>
      <c r="D2" s="4615"/>
      <c r="E2" s="4615"/>
      <c r="F2" s="4615"/>
      <c r="G2" s="4615"/>
      <c r="H2" s="4615"/>
      <c r="I2" s="4615"/>
      <c r="J2" s="2834"/>
    </row>
    <row r="3" spans="1:12" ht="18" customHeight="1">
      <c r="A3" s="4615" t="str">
        <f ca="1">"Vereinbarung gemäß §§ 84, 85 und § 87 SGB XI vom "&amp;TEXT(K1,"TT.MM.JJJJ")</f>
        <v>Vereinbarung gemäß §§ 84, 85 und § 87 SGB XI vom 03.04.2025</v>
      </c>
      <c r="B3" s="4615"/>
      <c r="C3" s="4615"/>
      <c r="D3" s="4615"/>
      <c r="E3" s="4615"/>
      <c r="F3" s="4615"/>
      <c r="G3" s="4615"/>
      <c r="H3" s="4615"/>
      <c r="I3" s="4615"/>
      <c r="J3" s="2834"/>
    </row>
    <row r="4" spans="1:12" ht="14.25">
      <c r="A4" s="54"/>
      <c r="B4" s="54"/>
      <c r="C4" s="54"/>
      <c r="D4" s="54"/>
      <c r="E4" s="54"/>
      <c r="F4" s="54"/>
      <c r="G4" s="55"/>
      <c r="H4" s="55"/>
      <c r="I4" s="55"/>
    </row>
    <row r="5" spans="1:12" ht="18" customHeight="1">
      <c r="A5" s="54" t="s">
        <v>103</v>
      </c>
      <c r="B5" s="54"/>
      <c r="C5" s="54"/>
      <c r="D5" s="54"/>
      <c r="E5" s="54"/>
      <c r="F5" s="54"/>
      <c r="G5" s="55"/>
      <c r="H5" s="55"/>
      <c r="I5" s="55"/>
    </row>
    <row r="6" spans="1:12" ht="8.1" customHeight="1">
      <c r="A6" s="54"/>
      <c r="B6" s="54"/>
      <c r="C6" s="54"/>
      <c r="D6" s="54"/>
      <c r="E6" s="54"/>
      <c r="F6" s="54"/>
      <c r="G6" s="55"/>
      <c r="H6" s="55"/>
      <c r="I6" s="55"/>
    </row>
    <row r="7" spans="1:12" ht="18" customHeight="1">
      <c r="A7" s="112" t="str">
        <f>CONCATENATE(Träger," ",Träger2)</f>
        <v xml:space="preserve"> </v>
      </c>
      <c r="B7" s="112"/>
      <c r="C7" s="112"/>
      <c r="D7" s="112"/>
      <c r="E7" s="112"/>
      <c r="F7" s="54"/>
      <c r="G7" s="55"/>
      <c r="H7" s="55"/>
      <c r="I7" s="55"/>
    </row>
    <row r="8" spans="1:12" ht="18" customHeight="1">
      <c r="A8" s="56" t="str">
        <f>'Seite 1'!F7</f>
        <v/>
      </c>
      <c r="B8" s="54"/>
      <c r="C8" s="54"/>
      <c r="D8" s="54"/>
      <c r="E8" s="54"/>
      <c r="F8" s="54"/>
      <c r="G8" s="55"/>
      <c r="H8" s="55"/>
      <c r="I8" s="55"/>
    </row>
    <row r="9" spans="1:12" ht="18" customHeight="1">
      <c r="A9" s="56" t="str">
        <f>CONCATENATE('Seite 1'!$F$8," ",'Seite 1'!$G$8)</f>
        <v xml:space="preserve"> </v>
      </c>
      <c r="B9" s="54"/>
      <c r="C9" s="54"/>
      <c r="D9" s="54"/>
      <c r="E9" s="54"/>
      <c r="F9" s="54"/>
      <c r="G9" s="55"/>
      <c r="H9" s="57" t="s">
        <v>15</v>
      </c>
      <c r="I9" s="55"/>
    </row>
    <row r="10" spans="1:12" ht="24" customHeight="1">
      <c r="A10" s="54" t="s">
        <v>104</v>
      </c>
      <c r="B10" s="54"/>
      <c r="C10" s="54"/>
      <c r="D10" s="54"/>
      <c r="E10" s="54"/>
      <c r="F10" s="54"/>
      <c r="G10" s="55"/>
      <c r="H10" s="535">
        <f>IK</f>
        <v>0</v>
      </c>
      <c r="I10" s="55"/>
    </row>
    <row r="11" spans="1:12" ht="14.25">
      <c r="A11" s="54"/>
      <c r="B11" s="54"/>
      <c r="C11" s="54"/>
      <c r="D11" s="54"/>
      <c r="E11" s="54"/>
      <c r="F11" s="54"/>
      <c r="G11" s="55"/>
      <c r="H11" s="55"/>
      <c r="I11" s="55"/>
    </row>
    <row r="12" spans="1:12" ht="18" customHeight="1">
      <c r="A12" s="56">
        <f>IF('Copy &amp; Paste'!B6="",'Copy &amp; Paste'!B5,CONCATENATE('Copy &amp; Paste'!B5,", - ",'Copy &amp; Paste'!B6,"- , "))</f>
        <v>0</v>
      </c>
      <c r="B12" s="54"/>
      <c r="C12" s="54"/>
      <c r="D12" s="54"/>
      <c r="E12" s="54"/>
      <c r="F12" s="54"/>
      <c r="G12" s="55"/>
      <c r="I12" s="55"/>
    </row>
    <row r="13" spans="1:12" ht="18" customHeight="1">
      <c r="A13" s="56" t="str">
        <f>'Seite 1'!C7</f>
        <v/>
      </c>
      <c r="B13" s="54"/>
      <c r="C13" s="54"/>
      <c r="D13" s="54"/>
      <c r="E13" s="54"/>
      <c r="F13" s="54"/>
      <c r="G13" s="55"/>
      <c r="H13" s="453" t="s">
        <v>1212</v>
      </c>
      <c r="I13" s="55"/>
    </row>
    <row r="14" spans="1:12" ht="18" customHeight="1">
      <c r="A14" s="56" t="str">
        <f>CONCATENATE('Seite 1'!$C$8," ",'Seite 1'!$D$8)</f>
        <v xml:space="preserve"> </v>
      </c>
      <c r="B14" s="54"/>
      <c r="C14" s="54"/>
      <c r="D14" s="54"/>
      <c r="E14" s="54"/>
      <c r="F14" s="54"/>
      <c r="G14" s="55"/>
      <c r="H14" s="452">
        <f>'Copy &amp; Paste'!B15</f>
        <v>0</v>
      </c>
      <c r="I14" s="55"/>
    </row>
    <row r="15" spans="1:12" ht="18" customHeight="1">
      <c r="A15" s="54"/>
      <c r="B15" s="54"/>
      <c r="C15" s="54"/>
      <c r="D15" s="54"/>
      <c r="E15" s="54"/>
      <c r="F15" s="54"/>
      <c r="G15" s="55"/>
      <c r="H15" s="2745"/>
      <c r="I15" s="55"/>
    </row>
    <row r="16" spans="1:12" s="62" customFormat="1" ht="18" customHeight="1">
      <c r="A16" s="59" t="s">
        <v>746</v>
      </c>
      <c r="B16" s="59"/>
      <c r="C16" s="59"/>
      <c r="D16" s="59"/>
      <c r="E16" s="59"/>
      <c r="F16" s="59"/>
      <c r="G16" s="59"/>
      <c r="H16" s="60" t="s">
        <v>741</v>
      </c>
      <c r="I16" s="61"/>
    </row>
    <row r="17" spans="1:95" ht="8.1" customHeight="1">
      <c r="A17" s="54"/>
      <c r="B17" s="54"/>
      <c r="C17" s="54"/>
      <c r="D17" s="54"/>
      <c r="E17" s="54"/>
      <c r="F17" s="54"/>
      <c r="G17" s="55"/>
      <c r="H17" s="55"/>
      <c r="I17" s="55"/>
    </row>
    <row r="18" spans="1:95" ht="18" customHeight="1">
      <c r="A18" s="54" t="s">
        <v>105</v>
      </c>
      <c r="B18" s="54"/>
      <c r="C18" s="54" t="s">
        <v>743</v>
      </c>
      <c r="D18" s="54"/>
      <c r="E18" s="54"/>
      <c r="F18" s="54"/>
      <c r="G18" s="55"/>
      <c r="H18" s="55"/>
      <c r="I18" s="55"/>
    </row>
    <row r="19" spans="1:95" ht="8.1" customHeight="1">
      <c r="A19" s="54"/>
      <c r="B19" s="54"/>
      <c r="C19" s="54"/>
      <c r="D19" s="54"/>
      <c r="E19" s="54"/>
      <c r="F19" s="54"/>
      <c r="G19" s="55"/>
      <c r="H19" s="55"/>
      <c r="I19" s="55"/>
    </row>
    <row r="20" spans="1:95" s="15" customFormat="1" ht="18" customHeight="1">
      <c r="A20" s="54" t="s">
        <v>744</v>
      </c>
      <c r="B20" s="55"/>
      <c r="C20" s="56" t="s">
        <v>747</v>
      </c>
      <c r="D20" s="55"/>
      <c r="E20" s="55"/>
      <c r="F20" s="55"/>
      <c r="G20" s="55"/>
      <c r="H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row>
    <row r="21" spans="1:95" ht="18" customHeight="1">
      <c r="A21" s="54" t="s">
        <v>744</v>
      </c>
      <c r="B21" s="54"/>
      <c r="C21" s="56" t="s">
        <v>1781</v>
      </c>
      <c r="D21" s="54"/>
      <c r="E21" s="54"/>
      <c r="F21" s="54"/>
      <c r="G21" s="55"/>
      <c r="H21" s="55"/>
      <c r="I21" s="55"/>
    </row>
    <row r="22" spans="1:95" ht="18" customHeight="1">
      <c r="A22" s="54" t="s">
        <v>745</v>
      </c>
      <c r="B22" s="54"/>
      <c r="C22" s="56" t="s">
        <v>350</v>
      </c>
      <c r="D22" s="54"/>
      <c r="E22" s="54"/>
      <c r="F22" s="54"/>
      <c r="G22" s="55"/>
      <c r="H22" s="55"/>
      <c r="I22" s="55"/>
    </row>
    <row r="23" spans="1:95" ht="18" customHeight="1">
      <c r="A23" s="54"/>
      <c r="B23" s="54"/>
      <c r="C23" s="54" t="s">
        <v>347</v>
      </c>
      <c r="D23" s="54"/>
      <c r="E23" s="54"/>
      <c r="F23" s="54"/>
      <c r="G23" s="55"/>
      <c r="H23" s="55"/>
      <c r="I23" s="55"/>
    </row>
    <row r="24" spans="1:95" ht="18" customHeight="1">
      <c r="A24" s="54" t="s">
        <v>744</v>
      </c>
      <c r="B24" s="54"/>
      <c r="C24" s="56" t="s">
        <v>1407</v>
      </c>
      <c r="D24" s="54"/>
      <c r="E24" s="54"/>
      <c r="F24" s="54"/>
      <c r="G24" s="55"/>
      <c r="H24" s="55"/>
      <c r="I24" s="55"/>
    </row>
    <row r="25" spans="1:95" ht="18" customHeight="1">
      <c r="A25" s="54" t="s">
        <v>744</v>
      </c>
      <c r="B25" s="54"/>
      <c r="C25" s="56" t="s">
        <v>1194</v>
      </c>
      <c r="D25" s="54"/>
      <c r="E25" s="54"/>
      <c r="F25" s="54"/>
      <c r="G25" s="55"/>
      <c r="H25" s="55"/>
      <c r="I25" s="55"/>
    </row>
    <row r="26" spans="1:95" ht="18" customHeight="1">
      <c r="A26" s="54" t="s">
        <v>744</v>
      </c>
      <c r="B26" s="54"/>
      <c r="C26" s="56" t="s">
        <v>787</v>
      </c>
      <c r="D26" s="54"/>
      <c r="E26" s="54"/>
      <c r="F26" s="54"/>
      <c r="G26" s="55"/>
      <c r="H26" s="55"/>
      <c r="I26" s="55"/>
    </row>
    <row r="27" spans="1:95" ht="18" customHeight="1">
      <c r="A27" s="54"/>
      <c r="B27" s="54"/>
      <c r="C27" s="56" t="s">
        <v>793</v>
      </c>
      <c r="D27" s="54"/>
      <c r="E27" s="54"/>
      <c r="F27" s="54"/>
      <c r="G27" s="55"/>
      <c r="H27" s="55"/>
      <c r="I27" s="55"/>
    </row>
    <row r="28" spans="1:95" ht="8.1" customHeight="1">
      <c r="A28" s="54"/>
      <c r="B28" s="54"/>
      <c r="C28" s="54"/>
      <c r="D28" s="54"/>
      <c r="E28" s="54"/>
      <c r="F28" s="54"/>
      <c r="G28" s="55"/>
      <c r="H28" s="55"/>
      <c r="I28" s="55"/>
    </row>
    <row r="29" spans="1:95" ht="18" customHeight="1">
      <c r="A29" s="54" t="s">
        <v>352</v>
      </c>
      <c r="B29" s="54"/>
      <c r="C29" s="56" t="s">
        <v>353</v>
      </c>
      <c r="D29" s="54"/>
      <c r="E29" s="54"/>
      <c r="F29" s="54"/>
      <c r="G29" s="55"/>
      <c r="H29" s="55"/>
      <c r="I29" s="55"/>
    </row>
    <row r="30" spans="1:95" ht="8.1" customHeight="1">
      <c r="A30" s="54"/>
      <c r="B30" s="54"/>
      <c r="C30" s="54"/>
      <c r="D30" s="54"/>
      <c r="E30" s="54"/>
      <c r="F30" s="54"/>
      <c r="G30" s="55"/>
      <c r="H30" s="55"/>
      <c r="I30" s="55"/>
    </row>
    <row r="31" spans="1:95" ht="18" customHeight="1">
      <c r="A31" s="54"/>
      <c r="B31" s="54"/>
      <c r="C31" s="63"/>
      <c r="D31" s="64" t="s">
        <v>788</v>
      </c>
      <c r="E31" s="54"/>
      <c r="F31" s="54"/>
      <c r="G31" s="55"/>
      <c r="H31" s="55"/>
      <c r="I31" s="55"/>
    </row>
    <row r="32" spans="1:95" ht="18" customHeight="1">
      <c r="A32" s="54"/>
      <c r="B32" s="54"/>
      <c r="C32" s="63"/>
      <c r="D32" s="64" t="s">
        <v>1068</v>
      </c>
      <c r="E32" s="54"/>
      <c r="F32" s="54"/>
      <c r="G32" s="55"/>
      <c r="H32" s="55"/>
      <c r="I32" s="55"/>
    </row>
    <row r="33" spans="1:9" ht="18" customHeight="1">
      <c r="A33" s="54"/>
      <c r="B33" s="54"/>
      <c r="C33" s="63"/>
      <c r="D33" s="64" t="s">
        <v>789</v>
      </c>
      <c r="E33" s="54"/>
      <c r="F33" s="54"/>
      <c r="G33" s="55"/>
      <c r="H33" s="55"/>
      <c r="I33" s="55"/>
    </row>
    <row r="34" spans="1:9" ht="18" customHeight="1">
      <c r="A34" s="54"/>
      <c r="B34" s="54"/>
      <c r="C34" s="63"/>
      <c r="D34" s="64" t="s">
        <v>790</v>
      </c>
      <c r="E34" s="54"/>
      <c r="F34" s="54"/>
      <c r="G34" s="55"/>
      <c r="H34" s="55"/>
      <c r="I34" s="55"/>
    </row>
    <row r="35" spans="1:9" ht="18" customHeight="1">
      <c r="A35" s="54"/>
      <c r="B35" s="54"/>
      <c r="C35" s="63"/>
      <c r="D35" s="64" t="s">
        <v>792</v>
      </c>
      <c r="E35" s="54"/>
      <c r="F35" s="54"/>
      <c r="G35" s="55"/>
      <c r="H35" s="55"/>
      <c r="I35" s="55"/>
    </row>
    <row r="36" spans="1:9" ht="18" customHeight="1">
      <c r="A36" s="54"/>
      <c r="B36" s="54"/>
      <c r="C36" s="63"/>
      <c r="D36" s="64" t="s">
        <v>791</v>
      </c>
      <c r="E36" s="54"/>
      <c r="F36" s="54"/>
      <c r="G36" s="55"/>
      <c r="H36" s="55"/>
      <c r="I36" s="55"/>
    </row>
    <row r="37" spans="1:9" ht="8.1" customHeight="1">
      <c r="A37" s="54"/>
      <c r="B37" s="54"/>
      <c r="C37" s="54"/>
      <c r="D37" s="54"/>
      <c r="E37" s="54"/>
      <c r="F37" s="54"/>
      <c r="G37" s="55"/>
      <c r="H37" s="55"/>
      <c r="I37" s="55"/>
    </row>
    <row r="38" spans="1:9" ht="18" customHeight="1">
      <c r="B38" s="54"/>
      <c r="C38" s="54" t="s">
        <v>321</v>
      </c>
      <c r="D38" s="54"/>
      <c r="E38" s="54"/>
      <c r="F38" s="54"/>
      <c r="G38" s="55"/>
      <c r="H38" s="55"/>
      <c r="I38" s="55"/>
    </row>
    <row r="39" spans="1:9" ht="8.1" customHeight="1">
      <c r="A39" s="54"/>
      <c r="B39" s="54"/>
      <c r="C39" s="54"/>
      <c r="D39" s="54"/>
      <c r="E39" s="54"/>
      <c r="F39" s="54"/>
      <c r="G39" s="55"/>
      <c r="H39" s="55"/>
      <c r="I39" s="55"/>
    </row>
    <row r="40" spans="1:9" ht="18" customHeight="1">
      <c r="B40" s="54"/>
      <c r="C40" s="56" t="s">
        <v>278</v>
      </c>
      <c r="D40" s="54"/>
      <c r="E40" s="54"/>
      <c r="F40" s="54"/>
      <c r="G40" s="55"/>
      <c r="H40" s="55"/>
      <c r="I40" s="55"/>
    </row>
    <row r="41" spans="1:9" ht="18" customHeight="1">
      <c r="B41" s="54"/>
      <c r="C41" s="65" t="s">
        <v>966</v>
      </c>
      <c r="D41" s="54"/>
      <c r="E41" s="54"/>
      <c r="F41" s="54"/>
      <c r="G41" s="55"/>
      <c r="H41" s="55"/>
      <c r="I41" s="55"/>
    </row>
    <row r="42" spans="1:9" ht="14.25">
      <c r="A42" s="54"/>
      <c r="B42" s="54"/>
      <c r="D42" s="54"/>
      <c r="E42" s="54"/>
      <c r="F42" s="54"/>
      <c r="G42" s="55"/>
      <c r="H42" s="55"/>
      <c r="I42" s="55"/>
    </row>
    <row r="43" spans="1:9" ht="14.25">
      <c r="A43" s="54"/>
      <c r="B43" s="54"/>
      <c r="C43" s="54"/>
      <c r="D43" s="54"/>
      <c r="E43" s="54"/>
      <c r="F43" s="54"/>
      <c r="G43" s="55"/>
      <c r="H43" s="55"/>
      <c r="I43" s="55"/>
    </row>
    <row r="44" spans="1:9" ht="17.25" customHeight="1">
      <c r="A44" s="54" t="s">
        <v>236</v>
      </c>
      <c r="B44" s="54"/>
      <c r="C44" s="54"/>
      <c r="D44" s="56" t="str">
        <f>"Landschaftsverband "&amp;IF(Landesteil="Westfalen-Lippe","Westfalen-Lippe","Rheinland")</f>
        <v>Landschaftsverband Rheinland</v>
      </c>
      <c r="E44" s="54"/>
      <c r="F44" s="54"/>
      <c r="G44" s="55"/>
      <c r="H44" s="55"/>
      <c r="I44" s="55"/>
    </row>
    <row r="45" spans="1:9" ht="18" customHeight="1">
      <c r="A45" s="54"/>
      <c r="B45" s="54"/>
      <c r="C45" s="54"/>
      <c r="D45" s="54" t="s">
        <v>348</v>
      </c>
      <c r="E45" s="54"/>
      <c r="F45" s="54"/>
      <c r="G45" s="55"/>
      <c r="H45" s="55"/>
      <c r="I45" s="55"/>
    </row>
    <row r="46" spans="1:9" ht="18" customHeight="1">
      <c r="A46" s="54"/>
      <c r="B46" s="54"/>
      <c r="C46" s="54"/>
      <c r="D46" s="54"/>
      <c r="E46" s="54"/>
      <c r="F46" s="54"/>
      <c r="G46" s="55"/>
      <c r="H46" s="66" t="s">
        <v>742</v>
      </c>
      <c r="I46" s="55"/>
    </row>
    <row r="47" spans="1:9" ht="18" customHeight="1">
      <c r="A47" s="54" t="s">
        <v>748</v>
      </c>
      <c r="B47" s="54"/>
      <c r="C47" s="54"/>
      <c r="D47" s="54"/>
      <c r="E47" s="54"/>
      <c r="F47" s="54"/>
      <c r="G47" s="55"/>
      <c r="H47" s="55"/>
      <c r="I47" s="55"/>
    </row>
    <row r="48" spans="1:9" ht="18" customHeight="1">
      <c r="A48" s="54"/>
      <c r="B48" s="54"/>
      <c r="C48" s="54"/>
      <c r="D48" s="54"/>
      <c r="E48" s="54"/>
      <c r="F48" s="54"/>
      <c r="G48" s="55"/>
      <c r="H48" s="55"/>
      <c r="I48" s="55"/>
    </row>
    <row r="49" spans="1:16" ht="18" customHeight="1">
      <c r="A49" s="54"/>
      <c r="B49" s="54"/>
      <c r="C49" s="54"/>
      <c r="D49" s="54"/>
      <c r="E49" s="54"/>
      <c r="F49" s="54"/>
      <c r="G49" s="55"/>
      <c r="H49" s="55"/>
      <c r="I49" s="55"/>
    </row>
    <row r="50" spans="1:16" ht="18" customHeight="1">
      <c r="A50" s="54"/>
      <c r="B50" s="54"/>
      <c r="C50" s="54"/>
      <c r="D50" s="54"/>
      <c r="E50" s="54"/>
      <c r="F50" s="54"/>
      <c r="G50" s="55"/>
      <c r="H50" s="55"/>
      <c r="I50" s="55"/>
    </row>
    <row r="51" spans="1:16" ht="18" customHeight="1">
      <c r="A51" s="54"/>
      <c r="B51" s="54"/>
      <c r="C51" s="54"/>
      <c r="D51" s="54"/>
      <c r="E51" s="54"/>
      <c r="F51" s="54"/>
      <c r="G51" s="55"/>
      <c r="H51" s="55"/>
      <c r="I51" s="55"/>
    </row>
    <row r="52" spans="1:16" ht="14.25" customHeight="1">
      <c r="A52" s="4623" t="s">
        <v>106</v>
      </c>
      <c r="B52" s="4623"/>
      <c r="C52" s="4623"/>
      <c r="D52" s="4623"/>
      <c r="E52" s="4623"/>
      <c r="F52" s="4623"/>
      <c r="G52" s="4623"/>
      <c r="H52" s="4623"/>
      <c r="I52" s="4623"/>
    </row>
    <row r="53" spans="1:16" ht="14.25" customHeight="1">
      <c r="A53" s="67"/>
      <c r="B53" s="67"/>
      <c r="C53" s="67"/>
      <c r="D53" s="67"/>
      <c r="E53" s="67"/>
      <c r="F53" s="67"/>
      <c r="G53" s="67"/>
      <c r="H53" s="67"/>
    </row>
    <row r="54" spans="1:16" ht="14.25" customHeight="1">
      <c r="A54" s="4641" t="s">
        <v>107</v>
      </c>
      <c r="B54" s="4641"/>
      <c r="C54" s="4641"/>
      <c r="D54" s="4641"/>
      <c r="E54" s="4641"/>
      <c r="F54" s="4641"/>
      <c r="G54" s="4641"/>
      <c r="H54" s="4641"/>
      <c r="I54" s="4641"/>
    </row>
    <row r="55" spans="1:16" ht="14.25" customHeight="1">
      <c r="A55" s="4641" t="s">
        <v>108</v>
      </c>
      <c r="B55" s="4641"/>
      <c r="C55" s="4641"/>
      <c r="D55" s="4641"/>
      <c r="E55" s="4641"/>
      <c r="F55" s="4641"/>
      <c r="G55" s="4641"/>
      <c r="H55" s="4641"/>
      <c r="I55" s="4641"/>
    </row>
    <row r="56" spans="1:16" ht="14.25">
      <c r="A56" s="54"/>
      <c r="B56" s="54"/>
      <c r="C56" s="54"/>
      <c r="D56" s="54"/>
      <c r="E56" s="54"/>
      <c r="F56" s="54"/>
      <c r="G56" s="54"/>
      <c r="H56" s="54"/>
    </row>
    <row r="57" spans="1:16" ht="14.25" customHeight="1">
      <c r="A57" s="2745"/>
      <c r="B57" s="69" t="s">
        <v>1682</v>
      </c>
      <c r="C57" s="2750"/>
      <c r="D57" s="2750"/>
      <c r="E57" s="2750"/>
      <c r="F57" s="2750"/>
      <c r="G57" s="2750"/>
      <c r="H57" s="2750"/>
      <c r="I57" s="54"/>
      <c r="J57" s="54"/>
      <c r="K57" s="54"/>
      <c r="L57" s="54"/>
      <c r="M57" s="54"/>
      <c r="N57" s="54"/>
      <c r="O57" s="54"/>
      <c r="P57" s="54"/>
    </row>
    <row r="58" spans="1:16" ht="14.25" customHeight="1">
      <c r="A58" s="2745"/>
      <c r="B58" s="69" t="s">
        <v>1683</v>
      </c>
      <c r="C58" s="2750"/>
      <c r="D58" s="2750"/>
      <c r="E58" s="2750"/>
      <c r="F58" s="2750"/>
      <c r="G58" s="2750"/>
      <c r="H58" s="2750"/>
      <c r="I58" s="54"/>
      <c r="J58" s="54"/>
      <c r="K58" s="54"/>
      <c r="L58" s="54"/>
      <c r="M58" s="54"/>
      <c r="N58" s="54"/>
      <c r="O58" s="54"/>
      <c r="P58" s="54"/>
    </row>
    <row r="59" spans="1:16" ht="14.25" customHeight="1">
      <c r="A59" s="2745"/>
      <c r="B59" s="69" t="s">
        <v>1684</v>
      </c>
      <c r="C59" s="2750"/>
      <c r="D59" s="2750"/>
      <c r="E59" s="2750"/>
      <c r="F59" s="2750"/>
      <c r="G59" s="2750"/>
      <c r="H59" s="2750"/>
      <c r="I59" s="54"/>
      <c r="J59" s="54"/>
      <c r="K59" s="54"/>
      <c r="L59" s="54"/>
      <c r="M59" s="54"/>
      <c r="N59" s="54"/>
      <c r="O59" s="54"/>
      <c r="P59" s="54"/>
    </row>
    <row r="60" spans="1:16" ht="14.25" customHeight="1">
      <c r="A60" s="2745"/>
      <c r="B60" s="69" t="s">
        <v>1685</v>
      </c>
      <c r="C60" s="2750"/>
      <c r="D60" s="2750"/>
      <c r="E60" s="2750"/>
      <c r="F60" s="2750"/>
      <c r="G60" s="2750"/>
      <c r="H60" s="2750"/>
      <c r="I60" s="54"/>
      <c r="J60" s="54"/>
      <c r="K60" s="54"/>
      <c r="L60" s="54"/>
      <c r="M60" s="54"/>
      <c r="N60" s="54"/>
      <c r="O60" s="54"/>
      <c r="P60" s="54"/>
    </row>
    <row r="61" spans="1:16" ht="14.25" customHeight="1">
      <c r="A61" s="2745"/>
      <c r="B61" s="69" t="str">
        <f ca="1">"vor. Insoweit ergänzt diese Vereinbarung die Vergütungsvereinbarung vom "&amp;TEXT(K1,"TT.MM.JJJJ")&amp;"."</f>
        <v>vor. Insoweit ergänzt diese Vereinbarung die Vergütungsvereinbarung vom 03.04.2025.</v>
      </c>
      <c r="C61" s="2750"/>
      <c r="D61" s="2750"/>
      <c r="E61" s="2750"/>
      <c r="F61" s="2750"/>
      <c r="G61" s="2750"/>
      <c r="H61" s="2750"/>
      <c r="I61" s="54"/>
      <c r="J61" s="54"/>
      <c r="K61" s="54"/>
      <c r="L61" s="54"/>
      <c r="M61" s="54"/>
      <c r="N61" s="54"/>
      <c r="O61" s="54"/>
      <c r="P61" s="54"/>
    </row>
    <row r="62" spans="1:16" ht="14.25" customHeight="1">
      <c r="A62" s="2826"/>
      <c r="B62" s="69"/>
      <c r="C62" s="2827"/>
      <c r="D62" s="2827"/>
      <c r="E62" s="2827"/>
      <c r="F62" s="2827"/>
      <c r="G62" s="2827"/>
      <c r="H62" s="2827"/>
      <c r="I62" s="54"/>
      <c r="J62" s="54"/>
      <c r="K62" s="54"/>
      <c r="L62" s="54"/>
      <c r="M62" s="54"/>
      <c r="N62" s="54"/>
      <c r="O62" s="54"/>
      <c r="P62" s="54"/>
    </row>
    <row r="63" spans="1:16" ht="14.25" customHeight="1">
      <c r="A63" s="2826"/>
      <c r="B63" s="69" t="s">
        <v>1706</v>
      </c>
      <c r="C63" s="2827"/>
      <c r="D63" s="2827"/>
      <c r="E63" s="2827"/>
      <c r="F63" s="2827"/>
      <c r="G63" s="2827"/>
      <c r="H63" s="2827"/>
      <c r="I63" s="54"/>
      <c r="J63" s="54"/>
      <c r="K63" s="54"/>
      <c r="L63" s="54"/>
      <c r="M63" s="54"/>
      <c r="N63" s="54"/>
      <c r="O63" s="54"/>
      <c r="P63" s="54"/>
    </row>
    <row r="64" spans="1:16" ht="14.25" customHeight="1">
      <c r="A64" s="2826"/>
      <c r="B64" s="69" t="s">
        <v>1707</v>
      </c>
      <c r="C64" s="2827"/>
      <c r="D64" s="2827"/>
      <c r="E64" s="2827"/>
      <c r="F64" s="2827"/>
      <c r="G64" s="2827"/>
      <c r="H64" s="2827"/>
      <c r="I64" s="54"/>
      <c r="J64" s="54"/>
      <c r="K64" s="54"/>
      <c r="L64" s="54"/>
      <c r="M64" s="54"/>
      <c r="N64" s="54"/>
      <c r="O64" s="54"/>
      <c r="P64" s="54"/>
    </row>
    <row r="65" spans="1:16" ht="14.25" customHeight="1">
      <c r="A65" s="2826"/>
      <c r="B65" s="69" t="s">
        <v>1708</v>
      </c>
      <c r="C65" s="2827"/>
      <c r="D65" s="2827"/>
      <c r="E65" s="2827"/>
      <c r="F65" s="2827"/>
      <c r="G65" s="2827"/>
      <c r="H65" s="2827"/>
      <c r="I65" s="54"/>
      <c r="J65" s="54"/>
      <c r="K65" s="54"/>
      <c r="L65" s="54"/>
      <c r="M65" s="54"/>
      <c r="N65" s="54"/>
      <c r="O65" s="54"/>
      <c r="P65" s="54"/>
    </row>
    <row r="66" spans="1:16" ht="14.25" customHeight="1">
      <c r="A66" s="2826"/>
      <c r="B66" s="69" t="s">
        <v>1709</v>
      </c>
      <c r="C66" s="2827"/>
      <c r="D66" s="2827"/>
      <c r="E66" s="2827"/>
      <c r="F66" s="2827"/>
      <c r="G66" s="2827"/>
      <c r="H66" s="2827"/>
      <c r="I66" s="54"/>
      <c r="J66" s="54"/>
      <c r="K66" s="54"/>
      <c r="L66" s="54"/>
      <c r="M66" s="54"/>
      <c r="N66" s="54"/>
      <c r="O66" s="54"/>
      <c r="P66" s="54"/>
    </row>
    <row r="67" spans="1:16" ht="14.25" customHeight="1">
      <c r="A67" s="2745"/>
      <c r="B67" s="69"/>
      <c r="C67" s="2750"/>
      <c r="D67" s="2750"/>
      <c r="E67" s="2750"/>
      <c r="F67" s="2750"/>
      <c r="G67" s="2750"/>
      <c r="H67" s="2750"/>
      <c r="I67" s="54"/>
      <c r="J67" s="54"/>
      <c r="K67" s="54"/>
      <c r="L67" s="54"/>
      <c r="M67" s="54"/>
      <c r="N67" s="54"/>
      <c r="O67" s="54"/>
      <c r="P67" s="54"/>
    </row>
    <row r="68" spans="1:16" ht="14.25" customHeight="1">
      <c r="A68" s="4646" t="s">
        <v>109</v>
      </c>
      <c r="B68" s="4646"/>
      <c r="C68" s="4646"/>
      <c r="D68" s="4646"/>
      <c r="E68" s="4646"/>
      <c r="F68" s="4646"/>
      <c r="G68" s="4646"/>
      <c r="H68" s="4646"/>
      <c r="I68" s="4646"/>
      <c r="J68" s="54"/>
      <c r="K68" s="54"/>
      <c r="L68" s="54"/>
      <c r="M68" s="54"/>
      <c r="N68" s="54"/>
      <c r="O68" s="54"/>
      <c r="P68" s="54"/>
    </row>
    <row r="69" spans="1:16" ht="14.25" customHeight="1">
      <c r="A69" s="4646" t="s">
        <v>1710</v>
      </c>
      <c r="B69" s="4646"/>
      <c r="C69" s="4646"/>
      <c r="D69" s="4646"/>
      <c r="E69" s="4646"/>
      <c r="F69" s="4646"/>
      <c r="G69" s="4646"/>
      <c r="H69" s="4646"/>
      <c r="I69" s="4646"/>
      <c r="J69" s="54"/>
      <c r="K69" s="54"/>
      <c r="L69" s="54"/>
      <c r="M69" s="54"/>
      <c r="N69" s="54"/>
      <c r="O69" s="54"/>
      <c r="P69" s="54"/>
    </row>
    <row r="70" spans="1:16" ht="14.25" customHeight="1">
      <c r="A70" s="2745"/>
      <c r="B70" s="69"/>
      <c r="C70" s="2750"/>
      <c r="D70" s="2750"/>
      <c r="E70" s="2750"/>
      <c r="F70" s="2750"/>
      <c r="G70" s="2750"/>
      <c r="H70" s="2750"/>
      <c r="I70" s="54"/>
      <c r="J70" s="54"/>
      <c r="K70" s="54"/>
      <c r="L70" s="54"/>
      <c r="M70" s="54"/>
      <c r="N70" s="54"/>
      <c r="O70" s="54"/>
      <c r="P70" s="54"/>
    </row>
    <row r="71" spans="1:16" ht="14.25" customHeight="1">
      <c r="A71" s="2833" t="s">
        <v>1757</v>
      </c>
      <c r="B71" s="69" t="s">
        <v>1686</v>
      </c>
      <c r="C71" s="2750"/>
      <c r="D71" s="2750"/>
      <c r="E71" s="2750"/>
      <c r="F71" s="2750"/>
      <c r="G71" s="2750"/>
      <c r="H71" s="2750"/>
      <c r="I71" s="54"/>
      <c r="J71" s="54"/>
      <c r="K71" s="54"/>
      <c r="L71" s="54"/>
      <c r="M71" s="54"/>
      <c r="N71" s="54"/>
      <c r="O71" s="54"/>
      <c r="P71" s="54"/>
    </row>
    <row r="72" spans="1:16" ht="14.25" customHeight="1">
      <c r="A72" s="2745"/>
      <c r="B72" s="69"/>
      <c r="C72" s="2750"/>
      <c r="D72" s="2750"/>
      <c r="E72" s="2750"/>
      <c r="F72" s="2750"/>
      <c r="G72" s="2750"/>
      <c r="H72" s="2750"/>
      <c r="I72" s="54"/>
      <c r="J72" s="54"/>
      <c r="K72" s="54"/>
      <c r="L72" s="54"/>
      <c r="M72" s="54"/>
      <c r="N72" s="54"/>
      <c r="O72" s="54"/>
      <c r="P72" s="54"/>
    </row>
    <row r="73" spans="1:16" ht="14.25" customHeight="1">
      <c r="A73" s="2745"/>
      <c r="B73" s="69" t="s">
        <v>1711</v>
      </c>
      <c r="C73" s="2750"/>
      <c r="D73" s="2750"/>
      <c r="E73" s="2750"/>
      <c r="F73" s="2750"/>
      <c r="G73" s="2750"/>
      <c r="H73" s="2750"/>
      <c r="I73" s="54"/>
      <c r="J73" s="54"/>
      <c r="K73" s="54"/>
      <c r="L73" s="54"/>
      <c r="M73" s="54"/>
      <c r="N73" s="54"/>
      <c r="O73" s="54"/>
      <c r="P73" s="54"/>
    </row>
    <row r="74" spans="1:16" ht="14.25" customHeight="1">
      <c r="A74" s="2826"/>
      <c r="B74" s="69" t="s">
        <v>1712</v>
      </c>
      <c r="C74" s="2827"/>
      <c r="D74" s="2827"/>
      <c r="E74" s="2827"/>
      <c r="F74" s="2827"/>
      <c r="G74" s="2827"/>
      <c r="H74" s="2827"/>
      <c r="I74" s="54"/>
      <c r="J74" s="54"/>
      <c r="K74" s="54"/>
      <c r="L74" s="54"/>
      <c r="M74" s="54"/>
      <c r="N74" s="54"/>
      <c r="O74" s="54"/>
      <c r="P74" s="54"/>
    </row>
    <row r="75" spans="1:16" ht="14.25" customHeight="1">
      <c r="A75" s="2745"/>
      <c r="B75" s="69"/>
      <c r="C75" s="2750"/>
      <c r="D75" s="2750"/>
      <c r="E75" s="2750"/>
      <c r="F75" s="2750"/>
      <c r="G75" s="2750"/>
      <c r="H75" s="2750"/>
      <c r="I75" s="54"/>
      <c r="J75" s="54"/>
      <c r="K75" s="54"/>
      <c r="L75" s="54"/>
      <c r="M75" s="54"/>
      <c r="N75" s="54"/>
      <c r="O75" s="54"/>
      <c r="P75" s="54"/>
    </row>
    <row r="76" spans="1:16" ht="14.25" customHeight="1">
      <c r="A76" s="2745"/>
      <c r="B76" s="69" t="s">
        <v>1691</v>
      </c>
      <c r="C76" s="2750"/>
      <c r="D76" s="2750"/>
      <c r="E76" s="2750"/>
      <c r="F76" s="2750"/>
      <c r="G76" s="2750"/>
      <c r="H76" s="2750"/>
      <c r="I76" s="54"/>
      <c r="J76" s="54"/>
      <c r="K76" s="54"/>
      <c r="L76" s="54"/>
      <c r="M76" s="54"/>
      <c r="N76" s="54"/>
      <c r="O76" s="54"/>
      <c r="P76" s="54"/>
    </row>
    <row r="77" spans="1:16" ht="14.25" customHeight="1">
      <c r="A77" s="2745"/>
      <c r="B77" s="69" t="s">
        <v>1780</v>
      </c>
      <c r="C77" s="2750"/>
      <c r="D77" s="2750"/>
      <c r="E77" s="2750"/>
      <c r="F77" s="2750"/>
      <c r="G77" s="2750"/>
      <c r="H77" s="2750"/>
      <c r="I77" s="54"/>
      <c r="J77" s="54"/>
      <c r="K77" s="54"/>
      <c r="L77" s="54"/>
      <c r="M77" s="54"/>
      <c r="N77" s="54"/>
      <c r="O77" s="54"/>
      <c r="P77" s="54"/>
    </row>
    <row r="78" spans="1:16" ht="14.25" customHeight="1">
      <c r="A78" s="2745"/>
      <c r="B78" s="69"/>
      <c r="C78" s="2750"/>
      <c r="D78" s="2750"/>
      <c r="E78" s="2750"/>
      <c r="F78" s="2750"/>
      <c r="G78" s="2750"/>
      <c r="H78" s="2750"/>
      <c r="I78" s="54"/>
      <c r="J78" s="54"/>
      <c r="K78" s="54"/>
      <c r="L78" s="54"/>
      <c r="M78" s="54"/>
      <c r="N78" s="54"/>
      <c r="O78" s="54"/>
      <c r="P78" s="54"/>
    </row>
    <row r="79" spans="1:16" ht="14.25" customHeight="1">
      <c r="A79" s="2745"/>
      <c r="B79" s="69" t="s">
        <v>1641</v>
      </c>
      <c r="C79" s="2750"/>
      <c r="D79" s="2750"/>
      <c r="E79" s="2750"/>
      <c r="F79" s="2750"/>
      <c r="G79" s="2750"/>
      <c r="H79" s="2750"/>
      <c r="I79" s="54"/>
      <c r="J79" s="54"/>
      <c r="K79" s="54"/>
      <c r="L79" s="54"/>
      <c r="M79" s="54"/>
      <c r="N79" s="54"/>
      <c r="O79" s="54"/>
      <c r="P79" s="54"/>
    </row>
    <row r="80" spans="1:16" ht="14.25" customHeight="1">
      <c r="A80" s="2745"/>
      <c r="B80" s="69"/>
      <c r="C80" s="2750"/>
      <c r="D80" s="2750"/>
      <c r="E80" s="2750"/>
      <c r="F80" s="2750"/>
      <c r="G80" s="2750"/>
      <c r="H80" s="2750"/>
      <c r="I80" s="54"/>
      <c r="J80" s="54"/>
      <c r="K80" s="54"/>
      <c r="L80" s="54"/>
      <c r="M80" s="54"/>
      <c r="N80" s="54"/>
      <c r="O80" s="54"/>
      <c r="P80" s="54"/>
    </row>
    <row r="81" spans="1:16" ht="14.25" customHeight="1">
      <c r="A81" s="2745"/>
      <c r="B81" s="69" t="s">
        <v>1642</v>
      </c>
      <c r="C81" s="2750"/>
      <c r="D81" s="2750"/>
      <c r="E81" s="2750"/>
      <c r="F81" s="2750"/>
      <c r="G81" s="2750"/>
      <c r="H81" s="2750"/>
      <c r="I81" s="54"/>
      <c r="J81" s="54"/>
      <c r="K81" s="54"/>
      <c r="L81" s="54"/>
      <c r="M81" s="54"/>
      <c r="N81" s="54"/>
      <c r="O81" s="54"/>
      <c r="P81" s="54"/>
    </row>
    <row r="82" spans="1:16" ht="14.25" customHeight="1">
      <c r="A82" s="2745"/>
      <c r="B82" s="69" t="s">
        <v>1643</v>
      </c>
      <c r="C82" s="2750"/>
      <c r="D82" s="2750"/>
      <c r="E82" s="2750"/>
      <c r="F82" s="2750"/>
      <c r="G82" s="2750"/>
      <c r="H82" s="2750"/>
      <c r="I82" s="54"/>
      <c r="J82" s="54"/>
      <c r="K82" s="54"/>
      <c r="L82" s="54"/>
      <c r="M82" s="54"/>
      <c r="N82" s="54"/>
      <c r="O82" s="54"/>
      <c r="P82" s="54"/>
    </row>
    <row r="83" spans="1:16" ht="14.25" customHeight="1">
      <c r="A83" s="2745"/>
      <c r="B83" s="69" t="s">
        <v>1644</v>
      </c>
      <c r="C83" s="2750"/>
      <c r="D83" s="2750"/>
      <c r="E83" s="2750"/>
      <c r="F83" s="2750"/>
      <c r="G83" s="2750"/>
      <c r="H83" s="2750"/>
      <c r="I83" s="54"/>
      <c r="J83" s="54"/>
      <c r="K83" s="54"/>
      <c r="L83" s="54"/>
      <c r="M83" s="54"/>
      <c r="N83" s="54"/>
      <c r="O83" s="54"/>
      <c r="P83" s="54"/>
    </row>
    <row r="84" spans="1:16" ht="14.25" customHeight="1">
      <c r="A84" s="2745"/>
      <c r="B84" s="69" t="s">
        <v>1645</v>
      </c>
      <c r="C84" s="2750"/>
      <c r="D84" s="2750"/>
      <c r="E84" s="2750"/>
      <c r="F84" s="2750"/>
      <c r="G84" s="2750"/>
      <c r="H84" s="2750"/>
      <c r="I84" s="54"/>
      <c r="J84" s="54"/>
      <c r="K84" s="54"/>
      <c r="L84" s="54"/>
      <c r="M84" s="54"/>
      <c r="N84" s="54"/>
      <c r="O84" s="54"/>
      <c r="P84" s="54"/>
    </row>
    <row r="85" spans="1:16" ht="14.25" customHeight="1">
      <c r="A85" s="2745"/>
      <c r="B85" s="69" t="s">
        <v>1693</v>
      </c>
      <c r="C85" s="2750"/>
      <c r="D85" s="2750"/>
      <c r="E85" s="2750"/>
      <c r="F85" s="2750"/>
      <c r="G85" s="2750"/>
      <c r="H85" s="2750"/>
      <c r="I85" s="54"/>
      <c r="J85" s="54"/>
      <c r="K85" s="54"/>
      <c r="L85" s="54"/>
      <c r="M85" s="54"/>
      <c r="N85" s="54"/>
      <c r="O85" s="54"/>
      <c r="P85" s="54"/>
    </row>
    <row r="86" spans="1:16" ht="14.25" customHeight="1">
      <c r="A86" s="2745"/>
      <c r="B86" s="69" t="s">
        <v>1646</v>
      </c>
      <c r="C86" s="2750"/>
      <c r="D86" s="2750"/>
      <c r="E86" s="2750"/>
      <c r="F86" s="2750"/>
      <c r="G86" s="2750"/>
      <c r="H86" s="2750"/>
      <c r="I86" s="54"/>
      <c r="J86" s="54"/>
      <c r="K86" s="54"/>
      <c r="L86" s="54"/>
      <c r="M86" s="54"/>
      <c r="N86" s="54"/>
      <c r="O86" s="54"/>
      <c r="P86" s="54"/>
    </row>
    <row r="87" spans="1:16" ht="14.25" customHeight="1">
      <c r="A87" s="2745"/>
      <c r="B87" s="69" t="s">
        <v>1694</v>
      </c>
      <c r="C87" s="2750"/>
      <c r="D87" s="2750"/>
      <c r="E87" s="2750"/>
      <c r="F87" s="2750"/>
      <c r="G87" s="2750"/>
      <c r="H87" s="2750"/>
      <c r="I87" s="54"/>
      <c r="J87" s="54"/>
      <c r="K87" s="54"/>
      <c r="L87" s="54"/>
      <c r="M87" s="54"/>
      <c r="N87" s="54"/>
      <c r="O87" s="54"/>
      <c r="P87" s="54"/>
    </row>
    <row r="88" spans="1:16" ht="14.25" customHeight="1">
      <c r="A88" s="2745"/>
      <c r="B88" s="69" t="s">
        <v>1647</v>
      </c>
      <c r="C88" s="2750"/>
      <c r="D88" s="2750"/>
      <c r="E88" s="2750"/>
      <c r="F88" s="2750"/>
      <c r="G88" s="2750"/>
      <c r="H88" s="2750"/>
      <c r="I88" s="54"/>
      <c r="J88" s="54"/>
      <c r="K88" s="54"/>
      <c r="L88" s="54"/>
      <c r="M88" s="54"/>
      <c r="N88" s="54"/>
      <c r="O88" s="54"/>
      <c r="P88" s="54"/>
    </row>
    <row r="89" spans="1:16" ht="14.25" customHeight="1">
      <c r="A89" s="2745"/>
      <c r="B89" s="69" t="s">
        <v>1648</v>
      </c>
      <c r="C89" s="2750"/>
      <c r="D89" s="2750"/>
      <c r="E89" s="2750"/>
      <c r="F89" s="2750"/>
      <c r="G89" s="2750"/>
      <c r="H89" s="2750"/>
      <c r="I89" s="54"/>
      <c r="J89" s="54"/>
      <c r="K89" s="54"/>
      <c r="L89" s="54"/>
      <c r="M89" s="54"/>
      <c r="N89" s="54"/>
      <c r="O89" s="54"/>
      <c r="P89" s="54"/>
    </row>
    <row r="90" spans="1:16" ht="14.25" customHeight="1">
      <c r="A90" s="2745"/>
      <c r="B90" s="69"/>
      <c r="C90" s="2750"/>
      <c r="D90" s="2750"/>
      <c r="E90" s="2750"/>
      <c r="F90" s="2750"/>
      <c r="G90" s="2750"/>
      <c r="H90" s="2750"/>
      <c r="I90" s="54"/>
      <c r="J90" s="54"/>
      <c r="K90" s="54"/>
      <c r="L90" s="54"/>
      <c r="M90" s="54"/>
      <c r="N90" s="54"/>
      <c r="O90" s="54"/>
      <c r="P90" s="54"/>
    </row>
    <row r="91" spans="1:16" ht="14.25" customHeight="1">
      <c r="A91" s="2833" t="s">
        <v>1758</v>
      </c>
      <c r="B91" s="69" t="s">
        <v>1649</v>
      </c>
      <c r="C91" s="2750"/>
      <c r="D91" s="2750"/>
      <c r="E91" s="2750"/>
      <c r="F91" s="2750"/>
      <c r="G91" s="2750"/>
      <c r="H91" s="2750"/>
      <c r="I91" s="54"/>
      <c r="J91" s="54"/>
      <c r="K91" s="54"/>
      <c r="L91" s="54"/>
      <c r="M91" s="54"/>
      <c r="N91" s="54"/>
      <c r="O91" s="54"/>
      <c r="P91" s="54"/>
    </row>
    <row r="92" spans="1:16" ht="14.25" customHeight="1">
      <c r="A92" s="2745"/>
      <c r="B92" s="69"/>
      <c r="C92" s="2750"/>
      <c r="D92" s="2750"/>
      <c r="E92" s="2750"/>
      <c r="F92" s="2750"/>
      <c r="G92" s="2750"/>
      <c r="H92" s="2750"/>
      <c r="I92" s="54"/>
      <c r="J92" s="54"/>
      <c r="K92" s="54"/>
      <c r="L92" s="54"/>
      <c r="M92" s="54"/>
      <c r="N92" s="54"/>
      <c r="O92" s="54"/>
      <c r="P92" s="54"/>
    </row>
    <row r="93" spans="1:16" ht="14.25" customHeight="1">
      <c r="A93" s="2745"/>
      <c r="B93" s="2823" t="s">
        <v>1650</v>
      </c>
      <c r="C93" s="2750"/>
      <c r="D93" s="2750"/>
      <c r="E93" s="2750"/>
      <c r="F93" s="2750"/>
      <c r="G93" s="2750"/>
      <c r="H93" s="2750"/>
      <c r="I93" s="54"/>
      <c r="J93" s="54"/>
      <c r="K93" s="54"/>
      <c r="L93" s="54"/>
      <c r="M93" s="54"/>
      <c r="N93" s="54"/>
      <c r="O93" s="54"/>
      <c r="P93" s="54"/>
    </row>
    <row r="94" spans="1:16" ht="14.25" customHeight="1">
      <c r="A94" s="2745"/>
      <c r="B94" s="2824" t="s">
        <v>1653</v>
      </c>
      <c r="C94" s="2750"/>
      <c r="D94" s="2750"/>
      <c r="E94" s="2750"/>
      <c r="F94" s="2750"/>
      <c r="G94" s="2750"/>
      <c r="H94" s="2750"/>
      <c r="I94" s="54"/>
      <c r="J94" s="54"/>
      <c r="K94" s="54"/>
      <c r="L94" s="54"/>
      <c r="M94" s="54"/>
      <c r="N94" s="54"/>
      <c r="O94" s="54"/>
      <c r="P94" s="54"/>
    </row>
    <row r="95" spans="1:16" ht="14.25" customHeight="1">
      <c r="A95" s="2745"/>
      <c r="B95" s="2824" t="s">
        <v>1695</v>
      </c>
      <c r="C95" s="2750"/>
      <c r="D95" s="2750"/>
      <c r="E95" s="2750"/>
      <c r="F95" s="2750"/>
      <c r="G95" s="2750"/>
      <c r="H95" s="2750"/>
      <c r="I95" s="54"/>
      <c r="J95" s="54"/>
      <c r="K95" s="54"/>
      <c r="L95" s="54"/>
      <c r="M95" s="54"/>
      <c r="N95" s="54"/>
      <c r="O95" s="54"/>
      <c r="P95" s="54"/>
    </row>
    <row r="96" spans="1:16" ht="14.25" customHeight="1">
      <c r="A96" s="2745"/>
      <c r="B96" s="2824" t="s">
        <v>1652</v>
      </c>
      <c r="C96" s="2750"/>
      <c r="D96" s="2750"/>
      <c r="E96" s="2750"/>
      <c r="F96" s="2750"/>
      <c r="G96" s="2750"/>
      <c r="H96" s="2750"/>
      <c r="I96" s="54"/>
      <c r="J96" s="54"/>
      <c r="K96" s="54"/>
      <c r="L96" s="54"/>
      <c r="M96" s="54"/>
      <c r="N96" s="54"/>
      <c r="O96" s="54"/>
      <c r="P96" s="54"/>
    </row>
    <row r="97" spans="1:16" ht="14.25" customHeight="1">
      <c r="A97" s="2745"/>
      <c r="B97" s="69"/>
      <c r="C97" s="2750"/>
      <c r="D97" s="2750"/>
      <c r="E97" s="2750"/>
      <c r="F97" s="2750"/>
      <c r="G97" s="2750"/>
      <c r="H97" s="2750"/>
      <c r="I97" s="54"/>
      <c r="J97" s="54"/>
      <c r="K97" s="54"/>
      <c r="L97" s="54"/>
      <c r="M97" s="54"/>
      <c r="N97" s="54"/>
      <c r="O97" s="54"/>
      <c r="P97" s="54"/>
    </row>
    <row r="98" spans="1:16" ht="14.25" customHeight="1">
      <c r="A98" s="2745"/>
      <c r="B98" s="69" t="s">
        <v>1651</v>
      </c>
      <c r="C98" s="2750"/>
      <c r="D98" s="2750"/>
      <c r="E98" s="2750"/>
      <c r="F98" s="2750"/>
      <c r="G98" s="2750"/>
      <c r="H98" s="2750"/>
      <c r="I98" s="54"/>
      <c r="J98" s="54"/>
      <c r="K98" s="54"/>
      <c r="L98" s="54"/>
      <c r="M98" s="54"/>
      <c r="N98" s="54"/>
      <c r="O98" s="54"/>
      <c r="P98" s="54"/>
    </row>
    <row r="99" spans="1:16" ht="14.25" customHeight="1">
      <c r="A99" s="2745"/>
      <c r="B99" s="69"/>
      <c r="C99" s="2750"/>
      <c r="D99" s="2750"/>
      <c r="E99" s="2750"/>
      <c r="F99" s="2750"/>
      <c r="G99" s="2750"/>
      <c r="H99" s="2750"/>
      <c r="I99" s="54"/>
      <c r="J99" s="54"/>
      <c r="K99" s="54"/>
      <c r="L99" s="54"/>
      <c r="M99" s="54"/>
      <c r="N99" s="54"/>
      <c r="O99" s="54"/>
      <c r="P99" s="54"/>
    </row>
    <row r="100" spans="1:16" ht="14.25" customHeight="1">
      <c r="A100" s="2833" t="s">
        <v>1759</v>
      </c>
      <c r="B100" s="69" t="s">
        <v>1654</v>
      </c>
      <c r="C100" s="2750"/>
      <c r="D100" s="2750"/>
      <c r="E100" s="2750"/>
      <c r="F100" s="2750"/>
      <c r="G100" s="2750"/>
      <c r="H100" s="2750"/>
      <c r="I100" s="54"/>
      <c r="J100" s="54"/>
      <c r="K100" s="54"/>
      <c r="L100" s="54"/>
      <c r="M100" s="54"/>
      <c r="N100" s="54"/>
      <c r="O100" s="54"/>
      <c r="P100" s="54"/>
    </row>
    <row r="101" spans="1:16" ht="14.25" customHeight="1">
      <c r="A101" s="2745"/>
      <c r="B101" s="69" t="s">
        <v>1703</v>
      </c>
      <c r="C101" s="2750"/>
      <c r="D101" s="2750"/>
      <c r="E101" s="2750"/>
      <c r="F101" s="2750"/>
      <c r="G101" s="2750"/>
      <c r="H101" s="2750"/>
      <c r="I101" s="54"/>
      <c r="J101" s="54"/>
      <c r="K101" s="54"/>
      <c r="L101" s="54"/>
      <c r="M101" s="54"/>
      <c r="N101" s="54"/>
      <c r="O101" s="54"/>
      <c r="P101" s="54"/>
    </row>
    <row r="102" spans="1:16" ht="14.25" customHeight="1">
      <c r="A102" s="2745"/>
      <c r="B102" s="69"/>
      <c r="C102" s="2750"/>
      <c r="D102" s="2750"/>
      <c r="E102" s="2750"/>
      <c r="F102" s="2750"/>
      <c r="G102" s="2750"/>
      <c r="H102" s="2750"/>
      <c r="I102" s="54"/>
      <c r="J102" s="54"/>
      <c r="K102" s="54"/>
      <c r="L102" s="54"/>
      <c r="M102" s="54"/>
      <c r="N102" s="54"/>
      <c r="O102" s="54"/>
      <c r="P102" s="54"/>
    </row>
    <row r="103" spans="1:16" ht="14.25" customHeight="1">
      <c r="A103" s="2833" t="s">
        <v>1760</v>
      </c>
      <c r="B103" s="69" t="s">
        <v>1722</v>
      </c>
      <c r="C103" s="2828"/>
      <c r="D103" s="2828"/>
      <c r="E103" s="2828"/>
      <c r="F103" s="2828"/>
      <c r="G103" s="2828"/>
      <c r="H103" s="2828"/>
      <c r="I103" s="54"/>
      <c r="J103" s="54"/>
      <c r="K103" s="101"/>
      <c r="L103" s="54"/>
      <c r="M103" s="54"/>
      <c r="N103" s="54"/>
      <c r="O103" s="54"/>
      <c r="P103" s="54"/>
    </row>
    <row r="104" spans="1:16" ht="14.25" customHeight="1">
      <c r="A104" s="2745"/>
      <c r="B104" s="69" t="s">
        <v>1723</v>
      </c>
      <c r="C104" s="2828"/>
      <c r="D104" s="2828"/>
      <c r="E104" s="2828"/>
      <c r="F104" s="2828"/>
      <c r="G104" s="2828"/>
      <c r="H104" s="2828"/>
      <c r="I104" s="54"/>
      <c r="J104" s="54"/>
      <c r="K104" s="54"/>
      <c r="L104" s="54"/>
      <c r="M104" s="54"/>
      <c r="N104" s="54"/>
      <c r="O104" s="54"/>
      <c r="P104" s="54"/>
    </row>
    <row r="105" spans="1:16" ht="14.25" customHeight="1">
      <c r="A105" s="2745"/>
      <c r="B105" s="69" t="s">
        <v>1725</v>
      </c>
      <c r="C105" s="2828"/>
      <c r="D105" s="2828"/>
      <c r="E105" s="2828"/>
      <c r="F105" s="2828"/>
      <c r="G105" s="2828"/>
      <c r="H105" s="2828"/>
      <c r="I105" s="54"/>
      <c r="J105" s="54"/>
      <c r="K105" s="54"/>
      <c r="L105" s="54"/>
      <c r="M105" s="54"/>
      <c r="N105" s="54"/>
      <c r="O105" s="54"/>
      <c r="P105" s="54"/>
    </row>
    <row r="106" spans="1:16" ht="14.25" customHeight="1">
      <c r="A106" s="2833"/>
      <c r="B106" s="69" t="s">
        <v>1724</v>
      </c>
      <c r="C106" s="2828"/>
      <c r="D106" s="2828"/>
      <c r="E106" s="2828"/>
      <c r="F106" s="2828"/>
      <c r="G106" s="2828"/>
      <c r="H106" s="2828"/>
      <c r="I106" s="54"/>
      <c r="J106" s="54"/>
      <c r="K106" s="54"/>
      <c r="L106" s="54"/>
      <c r="M106" s="54"/>
      <c r="N106" s="54"/>
      <c r="O106" s="54"/>
      <c r="P106" s="54"/>
    </row>
    <row r="107" spans="1:16" ht="14.25" customHeight="1">
      <c r="A107" s="2745"/>
      <c r="B107" s="69"/>
      <c r="C107" s="2750"/>
      <c r="D107" s="2750"/>
      <c r="E107" s="2750"/>
      <c r="F107" s="2750"/>
      <c r="G107" s="2750"/>
      <c r="H107" s="2750"/>
      <c r="I107" s="54"/>
      <c r="J107" s="54"/>
      <c r="K107" s="54"/>
      <c r="L107" s="54"/>
      <c r="M107" s="54"/>
      <c r="N107" s="54"/>
      <c r="O107" s="54"/>
      <c r="P107" s="54"/>
    </row>
    <row r="108" spans="1:16" ht="14.25" customHeight="1">
      <c r="A108" s="4645" t="s">
        <v>1690</v>
      </c>
      <c r="B108" s="4645"/>
      <c r="C108" s="4645"/>
      <c r="D108" s="4645"/>
      <c r="E108" s="4645"/>
      <c r="F108" s="4645"/>
      <c r="G108" s="4645"/>
      <c r="H108" s="4645"/>
      <c r="I108" s="4645"/>
      <c r="J108" s="54"/>
      <c r="K108" s="54"/>
      <c r="L108" s="54"/>
      <c r="M108" s="54"/>
      <c r="N108" s="54"/>
      <c r="O108" s="54"/>
      <c r="P108" s="54"/>
    </row>
    <row r="109" spans="1:16" ht="14.25" customHeight="1">
      <c r="A109" s="2745"/>
      <c r="B109" s="69"/>
      <c r="C109" s="2750"/>
      <c r="D109" s="2750"/>
      <c r="E109" s="2750"/>
      <c r="F109" s="2750"/>
      <c r="G109" s="2750"/>
      <c r="H109" s="2750"/>
      <c r="I109" s="54"/>
      <c r="J109" s="54"/>
      <c r="K109" s="54"/>
      <c r="L109" s="54"/>
      <c r="M109" s="54"/>
      <c r="N109" s="54"/>
      <c r="O109" s="54"/>
      <c r="P109" s="54"/>
    </row>
    <row r="110" spans="1:16" ht="14.25" customHeight="1">
      <c r="A110" s="4646" t="s">
        <v>115</v>
      </c>
      <c r="B110" s="4646"/>
      <c r="C110" s="4646"/>
      <c r="D110" s="4646"/>
      <c r="E110" s="4646"/>
      <c r="F110" s="4646"/>
      <c r="G110" s="4646"/>
      <c r="H110" s="4646"/>
      <c r="I110" s="4646"/>
      <c r="J110" s="54"/>
      <c r="K110" s="54"/>
      <c r="L110" s="54"/>
      <c r="M110" s="54"/>
      <c r="N110" s="54"/>
      <c r="O110" s="54"/>
      <c r="P110" s="54"/>
    </row>
    <row r="111" spans="1:16" ht="14.25" customHeight="1">
      <c r="A111" s="4646" t="s">
        <v>1713</v>
      </c>
      <c r="B111" s="4646"/>
      <c r="C111" s="4646"/>
      <c r="D111" s="4646"/>
      <c r="E111" s="4646"/>
      <c r="F111" s="4646"/>
      <c r="G111" s="4646"/>
      <c r="H111" s="4646"/>
      <c r="I111" s="4646"/>
      <c r="J111" s="54"/>
      <c r="K111" s="54"/>
      <c r="L111" s="54"/>
      <c r="M111" s="54"/>
      <c r="N111" s="54"/>
      <c r="O111" s="54"/>
      <c r="P111" s="54"/>
    </row>
    <row r="112" spans="1:16" ht="14.25" customHeight="1">
      <c r="A112" s="2745"/>
      <c r="B112" s="69"/>
      <c r="C112" s="2750"/>
      <c r="D112" s="2750"/>
      <c r="E112" s="2750"/>
      <c r="F112" s="2750"/>
      <c r="G112" s="2750"/>
      <c r="H112" s="2750"/>
      <c r="I112" s="54"/>
      <c r="J112" s="54"/>
      <c r="K112" s="54"/>
      <c r="L112" s="54"/>
      <c r="M112" s="54"/>
      <c r="N112" s="54"/>
      <c r="O112" s="54"/>
      <c r="P112" s="54"/>
    </row>
    <row r="113" spans="1:16" ht="14.25" customHeight="1">
      <c r="A113" s="2833" t="s">
        <v>1757</v>
      </c>
      <c r="B113" s="69" t="s">
        <v>1688</v>
      </c>
      <c r="C113" s="2750"/>
      <c r="D113" s="2750"/>
      <c r="E113" s="2750"/>
      <c r="F113" s="2750"/>
      <c r="G113" s="2750"/>
      <c r="H113" s="2750"/>
      <c r="I113" s="54"/>
      <c r="J113" s="54"/>
      <c r="K113" s="54"/>
      <c r="L113" s="54"/>
      <c r="M113" s="54"/>
      <c r="N113" s="54"/>
      <c r="O113" s="54"/>
      <c r="P113" s="54"/>
    </row>
    <row r="114" spans="1:16" ht="14.25" customHeight="1">
      <c r="A114" s="2745"/>
      <c r="B114" s="69" t="s">
        <v>1687</v>
      </c>
      <c r="C114" s="2750"/>
      <c r="D114" s="2750"/>
      <c r="E114" s="2750"/>
      <c r="F114" s="2750"/>
      <c r="G114" s="2750"/>
      <c r="H114" s="2750"/>
      <c r="I114" s="54"/>
      <c r="J114" s="54"/>
      <c r="K114" s="54"/>
      <c r="L114" s="54"/>
      <c r="M114" s="54"/>
      <c r="N114" s="54"/>
      <c r="O114" s="54"/>
      <c r="P114" s="54"/>
    </row>
    <row r="115" spans="1:16" ht="14.25" customHeight="1" thickBot="1">
      <c r="A115" s="2838"/>
      <c r="B115" s="69"/>
      <c r="C115" s="2839"/>
      <c r="D115" s="2839"/>
      <c r="E115" s="2839"/>
      <c r="F115" s="2839"/>
      <c r="G115" s="2839"/>
      <c r="H115" s="2839"/>
      <c r="I115" s="54"/>
      <c r="J115" s="54"/>
      <c r="K115" s="54"/>
      <c r="L115" s="54"/>
      <c r="M115" s="54"/>
      <c r="N115" s="54"/>
      <c r="O115" s="54"/>
      <c r="P115" s="54"/>
    </row>
    <row r="116" spans="1:16" ht="14.25" customHeight="1">
      <c r="A116" s="2838"/>
      <c r="B116" s="69"/>
      <c r="C116" s="4684" t="s">
        <v>810</v>
      </c>
      <c r="D116" s="4687" t="s">
        <v>1903</v>
      </c>
      <c r="E116" s="4688"/>
      <c r="F116" s="4689"/>
      <c r="G116" s="5081" t="s">
        <v>1795</v>
      </c>
      <c r="H116" s="5087" t="s">
        <v>1796</v>
      </c>
      <c r="I116" s="54"/>
      <c r="J116" s="54"/>
      <c r="K116" s="54"/>
      <c r="L116" s="54"/>
      <c r="M116" s="54"/>
      <c r="N116" s="54"/>
      <c r="O116" s="54"/>
      <c r="P116" s="54"/>
    </row>
    <row r="117" spans="1:16" ht="14.25" customHeight="1">
      <c r="A117" s="2838"/>
      <c r="B117" s="69"/>
      <c r="C117" s="4685"/>
      <c r="D117" s="4690"/>
      <c r="E117" s="5080"/>
      <c r="F117" s="4692"/>
      <c r="G117" s="5082"/>
      <c r="H117" s="5088"/>
      <c r="I117" s="54"/>
      <c r="J117" s="54"/>
      <c r="K117" s="54"/>
      <c r="L117" s="54"/>
      <c r="M117" s="54"/>
      <c r="N117" s="54"/>
      <c r="O117" s="54"/>
      <c r="P117" s="54"/>
    </row>
    <row r="118" spans="1:16" ht="14.25" customHeight="1" thickBot="1">
      <c r="A118" s="2838"/>
      <c r="B118" s="69"/>
      <c r="C118" s="4686"/>
      <c r="D118" s="4693"/>
      <c r="E118" s="4694"/>
      <c r="F118" s="4695"/>
      <c r="G118" s="5083"/>
      <c r="H118" s="5088"/>
      <c r="I118" s="54"/>
      <c r="J118" s="54"/>
      <c r="K118" s="54"/>
      <c r="L118" s="54"/>
      <c r="M118" s="54"/>
      <c r="N118" s="54"/>
      <c r="O118" s="54"/>
      <c r="P118" s="54"/>
    </row>
    <row r="119" spans="1:16" ht="14.25" customHeight="1">
      <c r="A119" s="2838"/>
      <c r="B119" s="69"/>
      <c r="C119" s="72">
        <v>1</v>
      </c>
      <c r="D119" s="5084" t="e">
        <f>'84 9 Nachweis'!G6</f>
        <v>#DIV/0!</v>
      </c>
      <c r="E119" s="5085"/>
      <c r="F119" s="5086"/>
      <c r="G119" s="2844">
        <v>1.6E-2</v>
      </c>
      <c r="H119" s="2843" t="e">
        <f>ROUND(D119*G119,3)</f>
        <v>#DIV/0!</v>
      </c>
      <c r="I119" s="54"/>
      <c r="J119" s="54"/>
      <c r="K119" s="54"/>
      <c r="L119" s="54"/>
      <c r="M119" s="54"/>
      <c r="N119" s="54"/>
      <c r="O119" s="54"/>
      <c r="P119" s="54"/>
    </row>
    <row r="120" spans="1:16" ht="14.25" customHeight="1">
      <c r="A120" s="2838"/>
      <c r="B120" s="69"/>
      <c r="C120" s="73">
        <v>2</v>
      </c>
      <c r="D120" s="5074" t="e">
        <f>'84 9 Nachweis'!G7</f>
        <v>#DIV/0!</v>
      </c>
      <c r="E120" s="5075"/>
      <c r="F120" s="5076"/>
      <c r="G120" s="2844">
        <v>1.6E-2</v>
      </c>
      <c r="H120" s="2843" t="e">
        <f t="shared" ref="H120:H123" si="0">ROUND(G120*D120,3)</f>
        <v>#DIV/0!</v>
      </c>
      <c r="I120" s="54"/>
      <c r="J120" s="54"/>
      <c r="K120" s="54"/>
      <c r="L120" s="54"/>
      <c r="M120" s="54"/>
      <c r="N120" s="54"/>
      <c r="O120" s="54"/>
      <c r="P120" s="54"/>
    </row>
    <row r="121" spans="1:16" ht="14.25" customHeight="1">
      <c r="A121" s="2838"/>
      <c r="B121" s="69"/>
      <c r="C121" s="73">
        <v>3</v>
      </c>
      <c r="D121" s="5074" t="e">
        <f>'84 9 Nachweis'!G8</f>
        <v>#DIV/0!</v>
      </c>
      <c r="E121" s="5075"/>
      <c r="F121" s="5076"/>
      <c r="G121" s="2844">
        <v>2.5000000000000001E-2</v>
      </c>
      <c r="H121" s="2843" t="e">
        <f t="shared" si="0"/>
        <v>#DIV/0!</v>
      </c>
      <c r="I121" s="54"/>
      <c r="J121" s="54"/>
      <c r="K121" s="54"/>
      <c r="L121" s="54"/>
      <c r="M121" s="54"/>
      <c r="N121" s="54"/>
      <c r="O121" s="54"/>
      <c r="P121" s="54"/>
    </row>
    <row r="122" spans="1:16" ht="14.25" customHeight="1">
      <c r="A122" s="2838"/>
      <c r="B122" s="69"/>
      <c r="C122" s="84">
        <v>4</v>
      </c>
      <c r="D122" s="5074" t="e">
        <f>'84 9 Nachweis'!G9</f>
        <v>#DIV/0!</v>
      </c>
      <c r="E122" s="5075"/>
      <c r="F122" s="5076"/>
      <c r="G122" s="2845">
        <v>3.2000000000000001E-2</v>
      </c>
      <c r="H122" s="2843" t="e">
        <f t="shared" si="0"/>
        <v>#DIV/0!</v>
      </c>
      <c r="I122" s="54"/>
      <c r="J122" s="54"/>
      <c r="K122" s="54"/>
      <c r="L122" s="54"/>
      <c r="M122" s="54"/>
      <c r="N122" s="54"/>
      <c r="O122" s="54"/>
      <c r="P122" s="54"/>
    </row>
    <row r="123" spans="1:16" ht="14.25" customHeight="1" thickBot="1">
      <c r="A123" s="2838"/>
      <c r="B123" s="69"/>
      <c r="C123" s="74">
        <v>5</v>
      </c>
      <c r="D123" s="5077" t="e">
        <f>'84 9 Nachweis'!G10</f>
        <v>#DIV/0!</v>
      </c>
      <c r="E123" s="5078"/>
      <c r="F123" s="5079"/>
      <c r="G123" s="2846">
        <v>3.5999999999999997E-2</v>
      </c>
      <c r="H123" s="2847" t="e">
        <f t="shared" si="0"/>
        <v>#DIV/0!</v>
      </c>
      <c r="I123" s="54"/>
      <c r="J123" s="54"/>
      <c r="K123" s="54"/>
      <c r="L123" s="54"/>
      <c r="M123" s="54"/>
      <c r="N123" s="54"/>
      <c r="O123" s="54"/>
      <c r="P123" s="54"/>
    </row>
    <row r="124" spans="1:16" ht="14.25" customHeight="1" thickBot="1">
      <c r="A124" s="2838"/>
      <c r="B124" s="69"/>
      <c r="C124" s="75" t="s">
        <v>32</v>
      </c>
      <c r="D124" s="4676" t="e">
        <f>SUM(D119:F123)</f>
        <v>#DIV/0!</v>
      </c>
      <c r="E124" s="4676"/>
      <c r="F124" s="4676"/>
      <c r="G124" s="2842"/>
      <c r="H124" s="3071" t="e">
        <f>SUM(H119:H123)</f>
        <v>#DIV/0!</v>
      </c>
      <c r="I124" s="54"/>
      <c r="J124" s="54"/>
      <c r="K124" s="54"/>
      <c r="L124" s="54"/>
      <c r="M124" s="54"/>
      <c r="N124" s="54"/>
      <c r="O124" s="54"/>
      <c r="P124" s="54"/>
    </row>
    <row r="125" spans="1:16" ht="14.25" customHeight="1">
      <c r="A125" s="2745"/>
      <c r="B125" s="69"/>
      <c r="C125" s="2750"/>
      <c r="D125" s="2750"/>
      <c r="E125" s="2750"/>
      <c r="F125" s="2750"/>
      <c r="G125" s="2750"/>
      <c r="H125" s="2750"/>
      <c r="I125" s="54"/>
      <c r="J125" s="54"/>
      <c r="K125" s="54"/>
      <c r="L125" s="54"/>
      <c r="M125" s="54"/>
      <c r="N125" s="54"/>
      <c r="O125" s="54"/>
      <c r="P125" s="54"/>
    </row>
    <row r="126" spans="1:16" ht="14.25" customHeight="1">
      <c r="A126" s="2850"/>
      <c r="B126" s="2850"/>
      <c r="C126" s="2850"/>
      <c r="D126" s="2850"/>
      <c r="E126" s="2850"/>
      <c r="F126" s="2850"/>
      <c r="G126" s="2850" t="str">
        <f>'84 9 Nachweis'!O35</f>
        <v/>
      </c>
      <c r="H126" s="2850"/>
      <c r="I126" s="2850"/>
      <c r="J126" s="54"/>
      <c r="K126" s="54"/>
      <c r="L126" s="54"/>
      <c r="M126" s="54"/>
      <c r="N126" s="54"/>
      <c r="O126" s="54"/>
      <c r="P126" s="54"/>
    </row>
    <row r="127" spans="1:16" ht="14.25" customHeight="1">
      <c r="A127" s="2745"/>
      <c r="B127" s="69"/>
      <c r="C127" s="2750"/>
      <c r="D127" s="2750"/>
      <c r="E127" s="2750"/>
      <c r="F127" s="2750"/>
      <c r="G127" s="2750"/>
      <c r="H127" s="2750"/>
      <c r="I127" s="54"/>
      <c r="J127" s="54"/>
      <c r="K127" s="54"/>
      <c r="L127" s="54"/>
      <c r="M127" s="54"/>
      <c r="N127" s="54"/>
      <c r="O127" s="54"/>
      <c r="P127" s="54"/>
    </row>
    <row r="128" spans="1:16" ht="14.25" customHeight="1">
      <c r="A128" s="2745"/>
      <c r="B128" s="69" t="s">
        <v>1660</v>
      </c>
      <c r="C128" s="2750"/>
      <c r="D128" s="2750"/>
      <c r="E128" s="2750"/>
      <c r="F128" s="2750"/>
      <c r="G128" s="2750"/>
      <c r="H128" s="2750"/>
      <c r="I128" s="54"/>
      <c r="J128" s="54"/>
      <c r="K128" s="54"/>
      <c r="L128" s="54"/>
      <c r="M128" s="54"/>
      <c r="N128" s="54"/>
      <c r="O128" s="54"/>
      <c r="P128" s="54"/>
    </row>
    <row r="129" spans="1:16" ht="14.25" customHeight="1">
      <c r="A129" s="2745"/>
      <c r="B129" s="69"/>
      <c r="C129" s="2750"/>
      <c r="D129" s="2750"/>
      <c r="E129" s="2750"/>
      <c r="F129" s="2750"/>
      <c r="G129" s="2750"/>
      <c r="H129" s="2750"/>
      <c r="I129" s="54"/>
      <c r="J129" s="54"/>
      <c r="K129" s="54"/>
      <c r="L129" s="54"/>
      <c r="M129" s="54"/>
      <c r="N129" s="54"/>
      <c r="O129" s="54"/>
      <c r="P129" s="54"/>
    </row>
    <row r="130" spans="1:16" ht="14.25" customHeight="1">
      <c r="A130" s="2745"/>
      <c r="B130" s="69" t="s">
        <v>1661</v>
      </c>
      <c r="C130" s="2750"/>
      <c r="D130" s="2750"/>
      <c r="E130" s="2750"/>
      <c r="F130" s="2750"/>
      <c r="G130" s="2750"/>
      <c r="H130" s="2750"/>
      <c r="I130" s="54"/>
      <c r="J130" s="54"/>
      <c r="K130" s="54"/>
      <c r="L130" s="54"/>
      <c r="M130" s="54"/>
      <c r="N130" s="54"/>
      <c r="O130" s="54"/>
      <c r="P130" s="54"/>
    </row>
    <row r="131" spans="1:16" ht="14.25" customHeight="1">
      <c r="A131" s="2745"/>
      <c r="B131" s="69" t="s">
        <v>1787</v>
      </c>
      <c r="C131" s="2750"/>
      <c r="D131" s="2750"/>
      <c r="E131" s="2750"/>
      <c r="F131" s="2750"/>
      <c r="G131" s="2750"/>
      <c r="H131" s="2750"/>
      <c r="I131" s="54"/>
      <c r="J131" s="54"/>
      <c r="K131" s="54"/>
      <c r="L131" s="54"/>
      <c r="M131" s="54"/>
      <c r="N131" s="54"/>
      <c r="O131" s="54"/>
      <c r="P131" s="54"/>
    </row>
    <row r="132" spans="1:16" ht="14.25" customHeight="1">
      <c r="A132" s="2745"/>
      <c r="B132" s="2841" t="s">
        <v>1785</v>
      </c>
      <c r="C132" s="2750"/>
      <c r="D132" s="2750"/>
      <c r="E132" s="2750"/>
      <c r="F132" s="2750"/>
      <c r="G132" s="2750"/>
      <c r="H132" s="2750"/>
      <c r="I132" s="54"/>
      <c r="J132" s="54"/>
      <c r="K132" s="54"/>
      <c r="L132" s="54"/>
      <c r="M132" s="54"/>
      <c r="N132" s="54"/>
      <c r="O132" s="54"/>
      <c r="P132" s="54"/>
    </row>
    <row r="133" spans="1:16" ht="14.25" customHeight="1">
      <c r="A133" s="2838"/>
      <c r="B133" s="2841" t="s">
        <v>1786</v>
      </c>
      <c r="C133" s="2839"/>
      <c r="D133" s="2839"/>
      <c r="E133" s="2839"/>
      <c r="F133" s="2839"/>
      <c r="G133" s="2839"/>
      <c r="H133" s="2839"/>
      <c r="I133" s="54"/>
      <c r="J133" s="54"/>
      <c r="K133" s="54"/>
      <c r="L133" s="54"/>
      <c r="M133" s="54"/>
      <c r="N133" s="54"/>
      <c r="O133" s="54"/>
      <c r="P133" s="54"/>
    </row>
    <row r="134" spans="1:16" ht="14.25" customHeight="1">
      <c r="A134" s="2838"/>
      <c r="B134" s="69" t="s">
        <v>1788</v>
      </c>
      <c r="C134" s="2839"/>
      <c r="D134" s="2839"/>
      <c r="E134" s="2839"/>
      <c r="F134" s="2839"/>
      <c r="G134" s="2839"/>
      <c r="H134" s="2839"/>
      <c r="I134" s="54"/>
      <c r="J134" s="54"/>
      <c r="K134" s="54"/>
      <c r="L134" s="54"/>
      <c r="M134" s="54"/>
      <c r="N134" s="54"/>
      <c r="O134" s="54"/>
      <c r="P134" s="54"/>
    </row>
    <row r="135" spans="1:16" ht="14.25" customHeight="1">
      <c r="A135" s="2838"/>
      <c r="B135" s="69" t="s">
        <v>1789</v>
      </c>
      <c r="C135" s="2839"/>
      <c r="D135" s="2839"/>
      <c r="E135" s="2839"/>
      <c r="F135" s="2839"/>
      <c r="G135" s="2839"/>
      <c r="H135" s="2839"/>
      <c r="I135" s="54"/>
      <c r="J135" s="54"/>
      <c r="K135" s="54"/>
      <c r="L135" s="54"/>
      <c r="M135" s="54"/>
      <c r="N135" s="54"/>
      <c r="O135" s="54"/>
      <c r="P135" s="54"/>
    </row>
    <row r="136" spans="1:16" ht="14.25" customHeight="1">
      <c r="A136" s="2838"/>
      <c r="B136" s="69" t="s">
        <v>1790</v>
      </c>
      <c r="C136" s="2839"/>
      <c r="D136" s="2839"/>
      <c r="E136" s="2839"/>
      <c r="F136" s="2839"/>
      <c r="G136" s="2839"/>
      <c r="H136" s="2839"/>
      <c r="I136" s="54"/>
      <c r="J136" s="54"/>
      <c r="K136" s="54"/>
      <c r="L136" s="54"/>
      <c r="M136" s="54"/>
      <c r="N136" s="54"/>
      <c r="O136" s="54"/>
      <c r="P136" s="54"/>
    </row>
    <row r="137" spans="1:16" ht="14.25" customHeight="1">
      <c r="A137" s="2745"/>
      <c r="B137" s="69"/>
      <c r="C137" s="2750"/>
      <c r="D137" s="2750"/>
      <c r="E137" s="2750"/>
      <c r="F137" s="2750"/>
      <c r="G137" s="2750"/>
      <c r="H137" s="2750"/>
      <c r="I137" s="54"/>
      <c r="J137" s="54"/>
      <c r="K137" s="54"/>
      <c r="L137" s="54"/>
      <c r="M137" s="54"/>
      <c r="N137" s="54"/>
      <c r="O137" s="54"/>
      <c r="P137" s="54"/>
    </row>
    <row r="138" spans="1:16" ht="14.25" customHeight="1">
      <c r="A138" s="2833" t="s">
        <v>1758</v>
      </c>
      <c r="B138" s="69" t="s">
        <v>1664</v>
      </c>
      <c r="C138" s="2750"/>
      <c r="D138" s="2750"/>
      <c r="E138" s="2750"/>
      <c r="F138" s="2750"/>
      <c r="G138" s="2750"/>
      <c r="H138" s="2750"/>
      <c r="I138" s="54"/>
      <c r="J138" s="54"/>
      <c r="K138" s="54"/>
      <c r="L138" s="54"/>
      <c r="M138" s="54"/>
      <c r="N138" s="54"/>
      <c r="O138" s="54"/>
      <c r="P138" s="54"/>
    </row>
    <row r="139" spans="1:16" ht="14.25" customHeight="1">
      <c r="A139" s="2745"/>
      <c r="B139" s="69" t="s">
        <v>1764</v>
      </c>
      <c r="C139" s="2750"/>
      <c r="D139" s="2750"/>
      <c r="E139" s="2750"/>
      <c r="F139" s="2750"/>
      <c r="G139" s="2750"/>
      <c r="H139" s="2750"/>
      <c r="I139" s="54"/>
      <c r="J139" s="54"/>
      <c r="K139" s="54"/>
      <c r="L139" s="54"/>
      <c r="M139" s="54"/>
      <c r="N139" s="54"/>
      <c r="O139" s="54"/>
      <c r="P139" s="54"/>
    </row>
    <row r="140" spans="1:16" ht="14.25" customHeight="1">
      <c r="A140" s="2833"/>
      <c r="B140" s="69" t="s">
        <v>1765</v>
      </c>
      <c r="C140" s="2832"/>
      <c r="D140" s="2832"/>
      <c r="E140" s="2832"/>
      <c r="F140" s="2832"/>
      <c r="G140" s="2832"/>
      <c r="H140" s="2832"/>
      <c r="I140" s="54"/>
      <c r="J140" s="54"/>
      <c r="K140" s="54"/>
      <c r="L140" s="54"/>
      <c r="M140" s="54"/>
      <c r="N140" s="54"/>
      <c r="O140" s="54"/>
      <c r="P140" s="54"/>
    </row>
    <row r="141" spans="1:16" ht="14.25" customHeight="1">
      <c r="A141" s="2745"/>
      <c r="B141" s="69"/>
      <c r="C141" s="2750"/>
      <c r="D141" s="2750"/>
      <c r="E141" s="2750"/>
      <c r="F141" s="2750"/>
      <c r="G141" s="2750"/>
      <c r="H141" s="2750"/>
      <c r="I141" s="54"/>
      <c r="J141" s="54"/>
      <c r="K141" s="54"/>
      <c r="L141" s="54"/>
      <c r="M141" s="54"/>
      <c r="N141" s="54"/>
      <c r="O141" s="54"/>
      <c r="P141" s="54"/>
    </row>
    <row r="142" spans="1:16" ht="14.25" customHeight="1">
      <c r="A142" s="4696" t="e">
        <f>FIXED('84 9 Nachweis'!S40,2)&amp;" €."</f>
        <v>#VALUE!</v>
      </c>
      <c r="B142" s="4696"/>
      <c r="C142" s="4696"/>
      <c r="D142" s="4696"/>
      <c r="E142" s="4696"/>
      <c r="F142" s="4696"/>
      <c r="G142" s="4696"/>
      <c r="H142" s="4696"/>
      <c r="I142" s="4696"/>
      <c r="J142" s="54"/>
      <c r="K142" s="54"/>
      <c r="L142" s="54"/>
      <c r="M142" s="54"/>
      <c r="N142" s="54"/>
      <c r="O142" s="54"/>
      <c r="P142" s="54"/>
    </row>
    <row r="143" spans="1:16" ht="14.25" customHeight="1">
      <c r="A143" s="2745"/>
      <c r="B143" s="69"/>
      <c r="C143" s="2750"/>
      <c r="D143" s="2750"/>
      <c r="E143" s="2750"/>
      <c r="F143" s="2750"/>
      <c r="G143" s="2750"/>
      <c r="H143" s="2750"/>
      <c r="I143" s="54"/>
      <c r="J143" s="54"/>
      <c r="K143" s="54"/>
      <c r="L143" s="54"/>
      <c r="M143" s="54"/>
      <c r="N143" s="54"/>
      <c r="O143" s="54"/>
      <c r="P143" s="54"/>
    </row>
    <row r="144" spans="1:16" ht="14.25" customHeight="1">
      <c r="A144" s="2833"/>
      <c r="B144" s="69" t="s">
        <v>1726</v>
      </c>
      <c r="C144" s="2832"/>
      <c r="D144" s="2832"/>
      <c r="E144" s="2832"/>
      <c r="F144" s="2832"/>
      <c r="G144" s="2832"/>
      <c r="H144" s="2832"/>
      <c r="I144" s="54"/>
      <c r="J144" s="54"/>
      <c r="K144" s="101"/>
      <c r="L144" s="54"/>
      <c r="M144" s="54"/>
      <c r="N144" s="54"/>
      <c r="O144" s="54"/>
      <c r="P144" s="54"/>
    </row>
    <row r="145" spans="1:16" ht="14.25" customHeight="1">
      <c r="A145" s="2833"/>
      <c r="B145" s="2840" t="s">
        <v>1782</v>
      </c>
      <c r="C145" s="2832"/>
      <c r="D145" s="2832"/>
      <c r="E145" s="2832"/>
      <c r="F145" s="2832"/>
      <c r="G145" s="2832"/>
      <c r="H145" s="2832"/>
      <c r="I145" s="54"/>
      <c r="J145" s="54"/>
      <c r="K145" s="101"/>
      <c r="L145" s="54"/>
      <c r="M145" s="54"/>
      <c r="N145" s="54"/>
      <c r="O145" s="54"/>
      <c r="P145" s="54"/>
    </row>
    <row r="146" spans="1:16" ht="14.25" customHeight="1">
      <c r="A146" s="2833"/>
      <c r="B146" s="69" t="s">
        <v>1727</v>
      </c>
      <c r="C146" s="2832"/>
      <c r="D146" s="2832"/>
      <c r="E146" s="2832"/>
      <c r="F146" s="2832"/>
      <c r="G146" s="2832"/>
      <c r="H146" s="2832"/>
      <c r="I146" s="54"/>
      <c r="J146" s="54"/>
      <c r="K146" s="54"/>
      <c r="L146" s="54"/>
      <c r="M146" s="54"/>
      <c r="N146" s="54"/>
      <c r="O146" s="54"/>
      <c r="P146" s="54"/>
    </row>
    <row r="147" spans="1:16" ht="14.25" customHeight="1">
      <c r="A147" s="2833"/>
      <c r="B147" s="69" t="s">
        <v>1728</v>
      </c>
      <c r="C147" s="2832"/>
      <c r="D147" s="2832"/>
      <c r="E147" s="2832"/>
      <c r="F147" s="2832"/>
      <c r="G147" s="2832"/>
      <c r="H147" s="2832"/>
      <c r="I147" s="54"/>
      <c r="J147" s="54"/>
      <c r="K147" s="54"/>
      <c r="L147" s="54"/>
      <c r="M147" s="54"/>
      <c r="N147" s="54"/>
      <c r="O147" s="54"/>
      <c r="P147" s="54"/>
    </row>
    <row r="148" spans="1:16" ht="14.25" customHeight="1">
      <c r="A148" s="2833"/>
      <c r="B148" s="69" t="s">
        <v>1729</v>
      </c>
      <c r="C148" s="2832"/>
      <c r="D148" s="2832"/>
      <c r="E148" s="2832"/>
      <c r="F148" s="2832"/>
      <c r="G148" s="2832"/>
      <c r="H148" s="2832"/>
      <c r="I148" s="54"/>
      <c r="J148" s="54"/>
      <c r="K148" s="54"/>
      <c r="L148" s="54"/>
      <c r="M148" s="54"/>
      <c r="N148" s="54"/>
      <c r="O148" s="54"/>
      <c r="P148" s="54"/>
    </row>
    <row r="149" spans="1:16" ht="14.25" customHeight="1">
      <c r="A149" s="2833"/>
      <c r="B149" s="69" t="s">
        <v>1730</v>
      </c>
      <c r="C149" s="2832"/>
      <c r="D149" s="2832"/>
      <c r="E149" s="2832"/>
      <c r="F149" s="2832"/>
      <c r="G149" s="2832"/>
      <c r="H149" s="2832"/>
      <c r="I149" s="54"/>
      <c r="J149" s="54"/>
      <c r="K149" s="54"/>
      <c r="L149" s="54"/>
      <c r="M149" s="54"/>
      <c r="N149" s="54"/>
      <c r="O149" s="54"/>
      <c r="P149" s="54"/>
    </row>
    <row r="150" spans="1:16" ht="14.25" customHeight="1">
      <c r="A150" s="2833"/>
      <c r="B150" s="69" t="s">
        <v>1731</v>
      </c>
      <c r="C150" s="2832"/>
      <c r="D150" s="2832"/>
      <c r="E150" s="2832"/>
      <c r="F150" s="2832"/>
      <c r="G150" s="2832"/>
      <c r="H150" s="2832"/>
      <c r="I150" s="54"/>
      <c r="J150" s="54"/>
      <c r="K150" s="54"/>
      <c r="L150" s="54"/>
      <c r="M150" s="54"/>
      <c r="N150" s="54"/>
      <c r="O150" s="54"/>
      <c r="P150" s="54"/>
    </row>
    <row r="151" spans="1:16" ht="14.25" customHeight="1">
      <c r="A151" s="2833"/>
      <c r="B151" s="69" t="s">
        <v>1732</v>
      </c>
      <c r="C151" s="2832"/>
      <c r="D151" s="2832"/>
      <c r="E151" s="2832"/>
      <c r="F151" s="2832"/>
      <c r="G151" s="2832"/>
      <c r="H151" s="2832"/>
      <c r="I151" s="54"/>
      <c r="J151" s="54"/>
      <c r="K151" s="54"/>
      <c r="L151" s="54"/>
      <c r="M151" s="54"/>
      <c r="N151" s="54"/>
      <c r="O151" s="54"/>
      <c r="P151" s="54"/>
    </row>
    <row r="152" spans="1:16" ht="14.25" customHeight="1">
      <c r="A152" s="2833"/>
      <c r="B152" s="69" t="s">
        <v>1733</v>
      </c>
      <c r="C152" s="2832"/>
      <c r="D152" s="2832"/>
      <c r="E152" s="2832"/>
      <c r="F152" s="2832"/>
      <c r="G152" s="2832"/>
      <c r="H152" s="2832"/>
      <c r="I152" s="54"/>
      <c r="J152" s="54"/>
      <c r="K152" s="54"/>
      <c r="L152" s="54"/>
      <c r="M152" s="54"/>
      <c r="N152" s="54"/>
      <c r="O152" s="54"/>
      <c r="P152" s="54"/>
    </row>
    <row r="153" spans="1:16" ht="14.25" customHeight="1">
      <c r="A153" s="2833"/>
      <c r="B153" s="69" t="s">
        <v>1734</v>
      </c>
      <c r="C153" s="2832"/>
      <c r="D153" s="2832"/>
      <c r="E153" s="2832"/>
      <c r="F153" s="2832"/>
      <c r="G153" s="2832"/>
      <c r="H153" s="2832"/>
      <c r="I153" s="54"/>
      <c r="J153" s="54"/>
      <c r="K153" s="54"/>
      <c r="L153" s="54"/>
      <c r="M153" s="54"/>
      <c r="N153" s="54"/>
      <c r="O153" s="54"/>
      <c r="P153" s="54"/>
    </row>
    <row r="154" spans="1:16" ht="14.25" customHeight="1">
      <c r="A154" s="2833"/>
      <c r="B154" s="69" t="s">
        <v>1735</v>
      </c>
      <c r="C154" s="2832"/>
      <c r="D154" s="2832"/>
      <c r="E154" s="2832"/>
      <c r="F154" s="2832"/>
      <c r="G154" s="2832"/>
      <c r="H154" s="2832"/>
      <c r="I154" s="54"/>
      <c r="J154" s="54"/>
      <c r="K154" s="54"/>
      <c r="L154" s="54"/>
      <c r="M154" s="54"/>
      <c r="N154" s="54"/>
      <c r="O154" s="54"/>
      <c r="P154" s="54"/>
    </row>
    <row r="155" spans="1:16" ht="14.25" customHeight="1">
      <c r="A155" s="2833"/>
      <c r="B155" s="69" t="s">
        <v>1736</v>
      </c>
      <c r="C155" s="2832"/>
      <c r="D155" s="2832"/>
      <c r="E155" s="2832"/>
      <c r="F155" s="2832"/>
      <c r="G155" s="2832"/>
      <c r="H155" s="2832"/>
      <c r="I155" s="54"/>
      <c r="J155" s="54"/>
      <c r="K155" s="54"/>
      <c r="L155" s="54"/>
      <c r="M155" s="54"/>
      <c r="N155" s="54"/>
      <c r="O155" s="54"/>
      <c r="P155" s="54"/>
    </row>
    <row r="156" spans="1:16" ht="14.25" customHeight="1">
      <c r="A156" s="2833"/>
      <c r="B156" s="69" t="s">
        <v>1737</v>
      </c>
      <c r="C156" s="2832"/>
      <c r="D156" s="2832"/>
      <c r="E156" s="2832"/>
      <c r="F156" s="2832"/>
      <c r="G156" s="2832"/>
      <c r="H156" s="2832"/>
      <c r="I156" s="54"/>
      <c r="J156" s="54"/>
      <c r="K156" s="54"/>
      <c r="L156" s="54"/>
      <c r="M156" s="54"/>
      <c r="N156" s="54"/>
      <c r="O156" s="54"/>
      <c r="P156" s="54"/>
    </row>
    <row r="157" spans="1:16" ht="14.25" customHeight="1">
      <c r="A157" s="2833"/>
      <c r="B157" s="69" t="s">
        <v>1738</v>
      </c>
      <c r="C157" s="2832"/>
      <c r="D157" s="2832"/>
      <c r="E157" s="2832"/>
      <c r="F157" s="2832"/>
      <c r="G157" s="2832"/>
      <c r="H157" s="2832"/>
      <c r="I157" s="54"/>
      <c r="J157" s="54"/>
      <c r="K157" s="54"/>
      <c r="L157" s="54"/>
      <c r="M157" s="54"/>
      <c r="N157" s="54"/>
      <c r="O157" s="54"/>
      <c r="P157" s="54"/>
    </row>
    <row r="158" spans="1:16" ht="14.25" customHeight="1">
      <c r="A158" s="2833"/>
      <c r="B158" s="69"/>
      <c r="C158" s="2832"/>
      <c r="D158" s="2832"/>
      <c r="E158" s="2832"/>
      <c r="F158" s="2832"/>
      <c r="G158" s="2832"/>
      <c r="H158" s="2832"/>
      <c r="I158" s="54"/>
      <c r="J158" s="54"/>
      <c r="K158" s="54"/>
      <c r="L158" s="54"/>
      <c r="M158" s="54"/>
      <c r="N158" s="54"/>
      <c r="O158" s="54"/>
      <c r="P158" s="54"/>
    </row>
    <row r="159" spans="1:16" ht="14.25" customHeight="1">
      <c r="A159" s="4645" t="s">
        <v>993</v>
      </c>
      <c r="B159" s="4645"/>
      <c r="C159" s="4645"/>
      <c r="D159" s="4645"/>
      <c r="E159" s="4645"/>
      <c r="F159" s="4645"/>
      <c r="G159" s="4645"/>
      <c r="H159" s="4645"/>
      <c r="I159" s="4645"/>
      <c r="J159" s="54"/>
      <c r="K159" s="54"/>
      <c r="L159" s="54"/>
      <c r="M159" s="54"/>
      <c r="N159" s="54"/>
      <c r="O159" s="54"/>
      <c r="P159" s="54"/>
    </row>
    <row r="160" spans="1:16" ht="14.25" customHeight="1">
      <c r="A160" s="2852"/>
      <c r="B160" s="69"/>
      <c r="C160" s="2851"/>
      <c r="D160" s="2851"/>
      <c r="E160" s="2851"/>
      <c r="F160" s="2851"/>
      <c r="G160" s="2851"/>
      <c r="H160" s="2851"/>
      <c r="I160" s="54"/>
      <c r="J160" s="54"/>
      <c r="K160" s="54"/>
      <c r="L160" s="54"/>
      <c r="M160" s="54"/>
      <c r="N160" s="54"/>
      <c r="O160" s="54"/>
      <c r="P160" s="54"/>
    </row>
    <row r="161" spans="1:16" ht="14.25" customHeight="1">
      <c r="A161" s="2833" t="s">
        <v>1759</v>
      </c>
      <c r="B161" s="69" t="s">
        <v>1761</v>
      </c>
      <c r="C161" s="2832"/>
      <c r="D161" s="2832"/>
      <c r="E161" s="2832"/>
      <c r="F161" s="2832"/>
      <c r="G161" s="2832"/>
      <c r="H161" s="2832"/>
      <c r="I161" s="54"/>
      <c r="J161" s="54"/>
      <c r="K161" s="54"/>
      <c r="L161" s="54"/>
      <c r="M161" s="54"/>
      <c r="N161" s="54"/>
      <c r="O161" s="54"/>
      <c r="P161" s="54"/>
    </row>
    <row r="162" spans="1:16" ht="14.25" customHeight="1">
      <c r="A162" s="2833"/>
      <c r="B162" s="69" t="s">
        <v>1739</v>
      </c>
      <c r="C162" s="2832"/>
      <c r="D162" s="2832"/>
      <c r="E162" s="2832"/>
      <c r="F162" s="2832"/>
      <c r="G162" s="2832"/>
      <c r="H162" s="2832"/>
      <c r="I162" s="54"/>
      <c r="J162" s="54"/>
      <c r="K162" s="54"/>
      <c r="L162" s="54"/>
      <c r="M162" s="54"/>
      <c r="N162" s="54"/>
      <c r="O162" s="54"/>
      <c r="P162" s="54"/>
    </row>
    <row r="163" spans="1:16" ht="14.25" customHeight="1">
      <c r="A163" s="2833"/>
      <c r="B163" s="69" t="s">
        <v>1740</v>
      </c>
      <c r="C163" s="2832"/>
      <c r="D163" s="2832"/>
      <c r="E163" s="2832"/>
      <c r="F163" s="2832"/>
      <c r="G163" s="2832"/>
      <c r="H163" s="2832"/>
      <c r="I163" s="54"/>
      <c r="J163" s="54"/>
      <c r="K163" s="54"/>
      <c r="L163" s="54"/>
      <c r="M163" s="54"/>
      <c r="N163" s="54"/>
      <c r="O163" s="54"/>
      <c r="P163" s="54"/>
    </row>
    <row r="164" spans="1:16" ht="14.25" customHeight="1">
      <c r="A164" s="2833"/>
      <c r="B164" s="69" t="s">
        <v>1763</v>
      </c>
      <c r="C164" s="2832"/>
      <c r="D164" s="2832"/>
      <c r="E164" s="2832"/>
      <c r="F164" s="2832"/>
      <c r="G164" s="2832"/>
      <c r="H164" s="2832"/>
      <c r="I164" s="54"/>
      <c r="J164" s="54"/>
      <c r="K164" s="54"/>
      <c r="L164" s="54"/>
      <c r="M164" s="54"/>
      <c r="N164" s="54"/>
      <c r="O164" s="54"/>
      <c r="P164" s="54"/>
    </row>
    <row r="165" spans="1:16" ht="14.25" customHeight="1">
      <c r="A165" s="2833"/>
      <c r="B165" s="69" t="s">
        <v>1741</v>
      </c>
      <c r="C165" s="2832"/>
      <c r="D165" s="2832"/>
      <c r="E165" s="2832"/>
      <c r="F165" s="2832"/>
      <c r="G165" s="2832"/>
      <c r="H165" s="2832"/>
      <c r="I165" s="54"/>
      <c r="J165" s="54"/>
      <c r="K165" s="54"/>
      <c r="L165" s="54"/>
      <c r="M165" s="54"/>
      <c r="N165" s="54"/>
      <c r="O165" s="54"/>
      <c r="P165" s="54"/>
    </row>
    <row r="166" spans="1:16" ht="14.25" customHeight="1">
      <c r="A166" s="2833"/>
      <c r="B166" s="69" t="s">
        <v>1742</v>
      </c>
      <c r="C166" s="2832"/>
      <c r="D166" s="2832"/>
      <c r="E166" s="2832"/>
      <c r="F166" s="2832"/>
      <c r="G166" s="2832"/>
      <c r="H166" s="2832"/>
      <c r="I166" s="54"/>
      <c r="J166" s="54"/>
      <c r="K166" s="54"/>
      <c r="L166" s="54"/>
      <c r="M166" s="54"/>
      <c r="N166" s="54"/>
      <c r="O166" s="54"/>
      <c r="P166" s="54"/>
    </row>
    <row r="167" spans="1:16" ht="14.25" customHeight="1">
      <c r="A167" s="2833"/>
      <c r="B167" s="69" t="s">
        <v>1743</v>
      </c>
      <c r="C167" s="2832"/>
      <c r="D167" s="2832"/>
      <c r="E167" s="2832"/>
      <c r="F167" s="2832"/>
      <c r="G167" s="2832"/>
      <c r="H167" s="2832"/>
      <c r="I167" s="54"/>
      <c r="J167" s="54"/>
      <c r="K167" s="54"/>
      <c r="L167" s="54"/>
      <c r="M167" s="54"/>
      <c r="N167" s="54"/>
      <c r="O167" s="54"/>
      <c r="P167" s="54"/>
    </row>
    <row r="168" spans="1:16" ht="14.25" customHeight="1">
      <c r="A168" s="2833"/>
      <c r="B168" s="69" t="s">
        <v>1744</v>
      </c>
      <c r="C168" s="2832"/>
      <c r="D168" s="2832"/>
      <c r="E168" s="2832"/>
      <c r="F168" s="2832"/>
      <c r="G168" s="2832"/>
      <c r="H168" s="2832"/>
      <c r="I168" s="54"/>
      <c r="J168" s="54"/>
      <c r="K168" s="54"/>
      <c r="L168" s="54"/>
      <c r="M168" s="54"/>
      <c r="N168" s="54"/>
      <c r="O168" s="54"/>
      <c r="P168" s="54"/>
    </row>
    <row r="169" spans="1:16" ht="14.25" customHeight="1">
      <c r="A169" s="2833"/>
      <c r="B169" s="69" t="s">
        <v>1745</v>
      </c>
      <c r="C169" s="2832"/>
      <c r="D169" s="2832"/>
      <c r="E169" s="2832"/>
      <c r="F169" s="2832"/>
      <c r="G169" s="2832"/>
      <c r="H169" s="2832"/>
      <c r="I169" s="54"/>
      <c r="J169" s="54"/>
      <c r="K169" s="54"/>
      <c r="L169" s="54"/>
      <c r="M169" s="54"/>
      <c r="N169" s="54"/>
      <c r="O169" s="54"/>
      <c r="P169" s="54"/>
    </row>
    <row r="170" spans="1:16" ht="14.25" customHeight="1">
      <c r="A170" s="2833"/>
      <c r="B170" s="69" t="s">
        <v>1746</v>
      </c>
      <c r="C170" s="2832"/>
      <c r="D170" s="2832"/>
      <c r="E170" s="2832"/>
      <c r="F170" s="2832"/>
      <c r="G170" s="2832"/>
      <c r="H170" s="2832"/>
      <c r="I170" s="54"/>
      <c r="J170" s="54"/>
      <c r="K170" s="54"/>
      <c r="L170" s="54"/>
      <c r="M170" s="54"/>
      <c r="N170" s="54"/>
      <c r="O170" s="54"/>
      <c r="P170" s="54"/>
    </row>
    <row r="171" spans="1:16" ht="14.25" customHeight="1">
      <c r="A171" s="2833"/>
      <c r="B171" s="69"/>
      <c r="C171" s="2832"/>
      <c r="D171" s="2832"/>
      <c r="E171" s="2832"/>
      <c r="F171" s="2832"/>
      <c r="G171" s="2832"/>
      <c r="H171" s="2832"/>
      <c r="I171" s="54"/>
      <c r="J171" s="54"/>
      <c r="K171" s="54"/>
      <c r="L171" s="54"/>
      <c r="M171" s="54"/>
      <c r="N171" s="54"/>
      <c r="O171" s="54"/>
      <c r="P171" s="54"/>
    </row>
    <row r="172" spans="1:16" ht="14.25" customHeight="1">
      <c r="A172" s="2833" t="s">
        <v>1760</v>
      </c>
      <c r="B172" s="69" t="s">
        <v>1762</v>
      </c>
      <c r="C172" s="2750"/>
      <c r="D172" s="2750"/>
      <c r="E172" s="2750"/>
      <c r="F172" s="2750"/>
      <c r="G172" s="2750"/>
      <c r="H172" s="2750"/>
      <c r="I172" s="54"/>
      <c r="J172" s="54"/>
      <c r="K172" s="54"/>
      <c r="L172" s="54"/>
      <c r="M172" s="54"/>
      <c r="N172" s="54"/>
      <c r="O172" s="54"/>
      <c r="P172" s="54"/>
    </row>
    <row r="173" spans="1:16" ht="14.25" customHeight="1">
      <c r="A173" s="2745"/>
      <c r="B173" s="69" t="s">
        <v>1766</v>
      </c>
      <c r="C173" s="2750"/>
      <c r="D173" s="2750"/>
      <c r="E173" s="2750"/>
      <c r="F173" s="2750"/>
      <c r="G173" s="2750"/>
      <c r="H173" s="2750"/>
      <c r="I173" s="54"/>
      <c r="J173" s="54"/>
      <c r="K173" s="54"/>
      <c r="L173" s="54"/>
      <c r="M173" s="54"/>
      <c r="N173" s="54"/>
      <c r="O173" s="54"/>
      <c r="P173" s="54"/>
    </row>
    <row r="174" spans="1:16" ht="14.25" customHeight="1">
      <c r="A174" s="2833"/>
      <c r="B174" s="69" t="s">
        <v>1767</v>
      </c>
      <c r="C174" s="2832"/>
      <c r="D174" s="2832"/>
      <c r="E174" s="2832"/>
      <c r="F174" s="2832"/>
      <c r="G174" s="2832"/>
      <c r="H174" s="2832"/>
      <c r="I174" s="54"/>
      <c r="J174" s="54"/>
      <c r="K174" s="54"/>
      <c r="L174" s="54"/>
      <c r="M174" s="54"/>
      <c r="N174" s="54"/>
      <c r="O174" s="54"/>
      <c r="P174" s="54"/>
    </row>
    <row r="175" spans="1:16" ht="14.25" customHeight="1">
      <c r="A175" s="2745" t="s">
        <v>111</v>
      </c>
      <c r="B175" s="69"/>
      <c r="C175" s="2750"/>
      <c r="D175" s="2750"/>
      <c r="E175" s="2750"/>
      <c r="F175" s="2750"/>
      <c r="G175" s="2750"/>
      <c r="H175" s="2750"/>
      <c r="I175" s="54"/>
      <c r="J175" s="54"/>
      <c r="K175" s="54"/>
      <c r="L175" s="54"/>
      <c r="M175" s="54"/>
      <c r="N175" s="54"/>
      <c r="O175" s="54"/>
      <c r="P175" s="54"/>
    </row>
    <row r="176" spans="1:16" ht="14.25" customHeight="1">
      <c r="A176" s="4696" t="str">
        <f>"GPOS 08 x xx xx                     "&amp;FIXED('84 9 Nachweis'!S41,2)&amp;" €."</f>
        <v>GPOS 08 x xx xx                     0,00 €.</v>
      </c>
      <c r="B176" s="4696"/>
      <c r="C176" s="4696"/>
      <c r="D176" s="4696"/>
      <c r="E176" s="4696"/>
      <c r="F176" s="4696"/>
      <c r="G176" s="4696"/>
      <c r="H176" s="4696"/>
      <c r="I176" s="4696"/>
      <c r="J176" s="54"/>
      <c r="K176" s="54"/>
      <c r="L176" s="54"/>
      <c r="M176" s="54"/>
      <c r="N176" s="54"/>
      <c r="O176" s="54"/>
      <c r="P176" s="54"/>
    </row>
    <row r="177" spans="1:16" ht="14.25" customHeight="1">
      <c r="A177" s="2745"/>
      <c r="B177" s="69"/>
      <c r="C177" s="2750"/>
      <c r="D177" s="2750"/>
      <c r="E177" s="2750"/>
      <c r="F177" s="2750"/>
      <c r="G177" s="2750"/>
      <c r="H177" s="2750"/>
      <c r="I177" s="54"/>
      <c r="J177" s="54"/>
      <c r="K177" s="54"/>
      <c r="L177" s="54"/>
      <c r="M177" s="54"/>
      <c r="N177" s="54"/>
      <c r="O177" s="54"/>
      <c r="P177" s="54"/>
    </row>
    <row r="178" spans="1:16" ht="14.25" customHeight="1">
      <c r="A178" s="2833"/>
      <c r="B178" s="69" t="s">
        <v>1747</v>
      </c>
      <c r="C178" s="2832"/>
      <c r="D178" s="2832"/>
      <c r="E178" s="2832"/>
      <c r="F178" s="2832"/>
      <c r="G178" s="2832"/>
      <c r="H178" s="2832"/>
      <c r="I178" s="54"/>
      <c r="J178" s="54"/>
      <c r="K178" s="54"/>
      <c r="L178" s="54"/>
      <c r="M178" s="54"/>
      <c r="N178" s="54"/>
      <c r="O178" s="54"/>
      <c r="P178" s="54"/>
    </row>
    <row r="179" spans="1:16" ht="14.25" customHeight="1">
      <c r="A179" s="2833"/>
      <c r="B179" s="69" t="s">
        <v>1748</v>
      </c>
      <c r="C179" s="2832"/>
      <c r="D179" s="2832"/>
      <c r="E179" s="2832"/>
      <c r="F179" s="2832"/>
      <c r="G179" s="2832"/>
      <c r="H179" s="2832"/>
      <c r="I179" s="54"/>
      <c r="J179" s="54"/>
      <c r="K179" s="54"/>
      <c r="L179" s="54"/>
      <c r="M179" s="54"/>
      <c r="N179" s="54"/>
      <c r="O179" s="54"/>
      <c r="P179" s="54"/>
    </row>
    <row r="180" spans="1:16" ht="14.25" customHeight="1">
      <c r="A180" s="2833"/>
      <c r="B180" s="69" t="s">
        <v>1768</v>
      </c>
      <c r="C180" s="2832"/>
      <c r="D180" s="2832"/>
      <c r="E180" s="2832"/>
      <c r="F180" s="2832"/>
      <c r="G180" s="2832"/>
      <c r="H180" s="2832"/>
      <c r="I180" s="54"/>
      <c r="J180" s="54"/>
      <c r="K180" s="54"/>
      <c r="L180" s="54"/>
      <c r="M180" s="54"/>
      <c r="N180" s="54"/>
      <c r="O180" s="54"/>
      <c r="P180" s="54"/>
    </row>
    <row r="181" spans="1:16" ht="14.25" customHeight="1">
      <c r="A181" s="2833"/>
      <c r="B181" s="69" t="s">
        <v>1749</v>
      </c>
      <c r="C181" s="2832"/>
      <c r="D181" s="2832"/>
      <c r="E181" s="2832"/>
      <c r="F181" s="2832"/>
      <c r="G181" s="2832"/>
      <c r="H181" s="2832"/>
      <c r="I181" s="54"/>
      <c r="J181" s="54"/>
      <c r="K181" s="54"/>
      <c r="L181" s="54"/>
      <c r="M181" s="54"/>
      <c r="N181" s="54"/>
      <c r="O181" s="54"/>
      <c r="P181" s="54"/>
    </row>
    <row r="182" spans="1:16" ht="14.25" customHeight="1">
      <c r="A182" s="2833"/>
      <c r="B182" s="69" t="s">
        <v>1750</v>
      </c>
      <c r="C182" s="2832"/>
      <c r="D182" s="2832"/>
      <c r="E182" s="2832"/>
      <c r="F182" s="2832"/>
      <c r="G182" s="2832"/>
      <c r="H182" s="2832"/>
      <c r="I182" s="54"/>
      <c r="J182" s="54"/>
      <c r="K182" s="54"/>
      <c r="L182" s="54"/>
      <c r="M182" s="54"/>
      <c r="N182" s="54"/>
      <c r="O182" s="54"/>
      <c r="P182" s="54"/>
    </row>
    <row r="183" spans="1:16" ht="14.25" customHeight="1">
      <c r="A183" s="2833"/>
      <c r="B183" s="69" t="s">
        <v>1751</v>
      </c>
      <c r="C183" s="2832"/>
      <c r="D183" s="2832"/>
      <c r="E183" s="2832"/>
      <c r="F183" s="2832"/>
      <c r="G183" s="2832"/>
      <c r="H183" s="2832"/>
      <c r="I183" s="54"/>
      <c r="J183" s="54"/>
      <c r="K183" s="54"/>
      <c r="L183" s="54"/>
      <c r="M183" s="54"/>
      <c r="N183" s="54"/>
      <c r="O183" s="54"/>
      <c r="P183" s="54"/>
    </row>
    <row r="184" spans="1:16" ht="14.25" customHeight="1">
      <c r="A184" s="2833"/>
      <c r="B184" s="69" t="s">
        <v>1752</v>
      </c>
      <c r="C184" s="2832"/>
      <c r="D184" s="2832"/>
      <c r="E184" s="2832"/>
      <c r="F184" s="2832"/>
      <c r="G184" s="2832"/>
      <c r="H184" s="2832"/>
      <c r="I184" s="54"/>
      <c r="J184" s="54"/>
      <c r="K184" s="54"/>
      <c r="L184" s="54"/>
      <c r="M184" s="54"/>
      <c r="N184" s="54"/>
      <c r="O184" s="54"/>
      <c r="P184" s="54"/>
    </row>
    <row r="185" spans="1:16" ht="14.25" customHeight="1">
      <c r="A185" s="2833"/>
      <c r="B185" s="69" t="s">
        <v>1753</v>
      </c>
      <c r="C185" s="2832"/>
      <c r="D185" s="2832"/>
      <c r="E185" s="2832"/>
      <c r="F185" s="2832"/>
      <c r="G185" s="2832"/>
      <c r="H185" s="2832"/>
      <c r="I185" s="54"/>
      <c r="J185" s="54"/>
      <c r="K185" s="54"/>
      <c r="L185" s="54"/>
      <c r="M185" s="54"/>
      <c r="N185" s="54"/>
      <c r="O185" s="54"/>
      <c r="P185" s="54"/>
    </row>
    <row r="186" spans="1:16" ht="14.25" customHeight="1">
      <c r="A186" s="2833"/>
      <c r="B186" s="69" t="s">
        <v>1754</v>
      </c>
      <c r="C186" s="2832"/>
      <c r="D186" s="2832"/>
      <c r="E186" s="2832"/>
      <c r="F186" s="2832"/>
      <c r="G186" s="2832"/>
      <c r="H186" s="2832"/>
      <c r="I186" s="54"/>
      <c r="J186" s="54"/>
      <c r="K186" s="54"/>
      <c r="L186" s="54"/>
      <c r="M186" s="54"/>
      <c r="N186" s="54"/>
      <c r="O186" s="54"/>
      <c r="P186" s="54"/>
    </row>
    <row r="187" spans="1:16" ht="14.25" customHeight="1">
      <c r="A187" s="2833"/>
      <c r="B187" s="69"/>
      <c r="C187" s="2832"/>
      <c r="D187" s="2832"/>
      <c r="E187" s="2832"/>
      <c r="F187" s="2832"/>
      <c r="G187" s="2832"/>
      <c r="H187" s="2832"/>
      <c r="I187" s="54"/>
      <c r="J187" s="54"/>
      <c r="K187" s="54"/>
      <c r="L187" s="54"/>
      <c r="M187" s="54"/>
      <c r="N187" s="54"/>
      <c r="O187" s="54"/>
      <c r="P187" s="54"/>
    </row>
    <row r="188" spans="1:16" ht="14.25" customHeight="1">
      <c r="A188" s="2745"/>
      <c r="B188" s="69" t="s">
        <v>1755</v>
      </c>
      <c r="C188" s="2750"/>
      <c r="D188" s="2750"/>
      <c r="E188" s="2750"/>
      <c r="F188" s="2750"/>
      <c r="G188" s="2750"/>
      <c r="H188" s="2750"/>
      <c r="I188" s="54"/>
      <c r="J188" s="54"/>
      <c r="K188" s="54"/>
      <c r="L188" s="54"/>
      <c r="M188" s="54"/>
      <c r="N188" s="54"/>
      <c r="O188" s="54"/>
      <c r="P188" s="54"/>
    </row>
    <row r="189" spans="1:16" ht="14.25" customHeight="1">
      <c r="A189" s="2745"/>
      <c r="B189" s="69" t="s">
        <v>1756</v>
      </c>
      <c r="C189" s="2750"/>
      <c r="D189" s="2750"/>
      <c r="E189" s="2750"/>
      <c r="F189" s="2750"/>
      <c r="G189" s="2750"/>
      <c r="H189" s="2750"/>
      <c r="I189" s="54"/>
      <c r="J189" s="54"/>
      <c r="K189" s="54"/>
      <c r="L189" s="54"/>
      <c r="M189" s="54"/>
      <c r="N189" s="54"/>
      <c r="O189" s="54"/>
      <c r="P189" s="54"/>
    </row>
    <row r="190" spans="1:16" ht="14.25" customHeight="1">
      <c r="A190" s="2745"/>
      <c r="B190" s="69"/>
      <c r="C190" s="2750"/>
      <c r="D190" s="2750"/>
      <c r="E190" s="2750"/>
      <c r="F190" s="2750"/>
      <c r="G190" s="2750"/>
      <c r="H190" s="2750"/>
      <c r="I190" s="54"/>
      <c r="J190" s="54"/>
      <c r="K190" s="54"/>
      <c r="L190" s="54"/>
      <c r="M190" s="54"/>
      <c r="N190" s="54"/>
      <c r="O190" s="54"/>
      <c r="P190" s="54"/>
    </row>
    <row r="191" spans="1:16" ht="14.25" customHeight="1">
      <c r="A191" s="2833" t="str">
        <f>IF('Copy &amp; Paste'!H12="","(4)","(5)")</f>
        <v>(4)</v>
      </c>
      <c r="B191" s="69" t="s">
        <v>863</v>
      </c>
      <c r="C191" s="2750"/>
      <c r="D191" s="2750"/>
      <c r="E191" s="2750"/>
      <c r="F191" s="2750"/>
      <c r="G191" s="2750"/>
      <c r="H191" s="2750"/>
      <c r="I191" s="54"/>
      <c r="J191" s="54"/>
      <c r="K191" s="54"/>
      <c r="L191" s="54"/>
      <c r="M191" s="54"/>
      <c r="N191" s="54"/>
      <c r="O191" s="54"/>
      <c r="P191" s="54"/>
    </row>
    <row r="192" spans="1:16" ht="14.25" customHeight="1">
      <c r="A192" s="2745"/>
      <c r="B192" s="69" t="s">
        <v>1675</v>
      </c>
      <c r="C192" s="2750"/>
      <c r="D192" s="2750"/>
      <c r="E192" s="2750"/>
      <c r="F192" s="2750"/>
      <c r="G192" s="2750"/>
      <c r="H192" s="2750"/>
      <c r="I192" s="54"/>
      <c r="J192" s="54"/>
      <c r="K192" s="54"/>
      <c r="L192" s="54"/>
      <c r="M192" s="54"/>
      <c r="N192" s="54"/>
      <c r="O192" s="54"/>
      <c r="P192" s="54"/>
    </row>
    <row r="193" spans="1:16" ht="14.25" customHeight="1">
      <c r="A193" s="2745"/>
      <c r="B193" s="69"/>
      <c r="C193" s="2750"/>
      <c r="D193" s="2750"/>
      <c r="E193" s="2750"/>
      <c r="F193" s="2750"/>
      <c r="G193" s="2750"/>
      <c r="H193" s="2750"/>
      <c r="I193" s="54"/>
      <c r="J193" s="54"/>
      <c r="K193" s="54"/>
      <c r="L193" s="54"/>
      <c r="M193" s="54"/>
      <c r="N193" s="54"/>
      <c r="O193" s="54"/>
      <c r="P193" s="54"/>
    </row>
    <row r="194" spans="1:16" ht="14.25" customHeight="1">
      <c r="A194" s="2833" t="str">
        <f>IF('Copy &amp; Paste'!H12="","(5)","(6)")</f>
        <v>(5)</v>
      </c>
      <c r="B194" s="69" t="s">
        <v>1677</v>
      </c>
      <c r="C194" s="2750"/>
      <c r="D194" s="2750"/>
      <c r="E194" s="2750"/>
      <c r="F194" s="2750"/>
      <c r="G194" s="2750"/>
      <c r="H194" s="2750"/>
      <c r="I194" s="54"/>
      <c r="J194" s="54"/>
      <c r="K194" s="54"/>
      <c r="L194" s="54"/>
      <c r="M194" s="54"/>
      <c r="N194" s="54"/>
      <c r="O194" s="54"/>
      <c r="P194" s="54"/>
    </row>
    <row r="195" spans="1:16" ht="14.25" customHeight="1">
      <c r="A195" s="2745"/>
      <c r="B195" s="69" t="s">
        <v>1678</v>
      </c>
      <c r="C195" s="2750"/>
      <c r="D195" s="2750"/>
      <c r="E195" s="2750"/>
      <c r="F195" s="2750"/>
      <c r="G195" s="2750"/>
      <c r="H195" s="2750"/>
      <c r="I195" s="54"/>
      <c r="J195" s="54"/>
      <c r="K195" s="54"/>
      <c r="L195" s="54"/>
      <c r="M195" s="54"/>
      <c r="N195" s="54"/>
      <c r="O195" s="54"/>
      <c r="P195" s="54"/>
    </row>
    <row r="196" spans="1:16" ht="14.25" customHeight="1">
      <c r="A196" s="2745"/>
      <c r="B196" s="69"/>
      <c r="C196" s="2750"/>
      <c r="D196" s="2750"/>
      <c r="E196" s="2750"/>
      <c r="F196" s="2750"/>
      <c r="G196" s="2750"/>
      <c r="H196" s="2750"/>
      <c r="I196" s="54"/>
      <c r="J196" s="54"/>
      <c r="K196" s="54"/>
      <c r="L196" s="54"/>
      <c r="M196" s="54"/>
      <c r="N196" s="54"/>
      <c r="O196" s="54"/>
      <c r="P196" s="54"/>
    </row>
    <row r="197" spans="1:16" ht="14.25" customHeight="1">
      <c r="A197" s="2833" t="str">
        <f>IF('Copy &amp; Paste'!H12="","(6)","(7)")</f>
        <v>(6)</v>
      </c>
      <c r="B197" s="69" t="s">
        <v>1699</v>
      </c>
      <c r="C197" s="2750"/>
      <c r="D197" s="2750"/>
      <c r="E197" s="2750"/>
      <c r="F197" s="2750"/>
      <c r="G197" s="2750"/>
      <c r="H197" s="2750"/>
      <c r="I197" s="54"/>
      <c r="J197" s="54"/>
      <c r="K197" s="54"/>
      <c r="L197" s="54"/>
      <c r="M197" s="54"/>
      <c r="N197" s="54"/>
      <c r="O197" s="54"/>
      <c r="P197" s="54"/>
    </row>
    <row r="198" spans="1:16" ht="14.25" customHeight="1">
      <c r="A198" s="2745"/>
      <c r="B198" s="69" t="s">
        <v>1680</v>
      </c>
      <c r="C198" s="2750"/>
      <c r="D198" s="2750"/>
      <c r="E198" s="2750"/>
      <c r="F198" s="2750"/>
      <c r="G198" s="2750"/>
      <c r="H198" s="2750"/>
      <c r="I198" s="54"/>
      <c r="J198" s="54"/>
      <c r="K198" s="54"/>
      <c r="L198" s="54"/>
      <c r="M198" s="54"/>
      <c r="N198" s="54"/>
      <c r="O198" s="54"/>
      <c r="P198" s="54"/>
    </row>
    <row r="199" spans="1:16" ht="14.25" customHeight="1">
      <c r="A199" s="2745"/>
      <c r="B199" s="69" t="s">
        <v>1689</v>
      </c>
      <c r="C199" s="2750"/>
      <c r="D199" s="2750"/>
      <c r="E199" s="2750"/>
      <c r="F199" s="2750"/>
      <c r="G199" s="2750"/>
      <c r="H199" s="2750"/>
      <c r="I199" s="54"/>
      <c r="J199" s="54"/>
      <c r="K199" s="54"/>
      <c r="L199" s="54"/>
      <c r="M199" s="54"/>
      <c r="N199" s="54"/>
      <c r="O199" s="54"/>
      <c r="P199" s="54"/>
    </row>
    <row r="200" spans="1:16" ht="14.25" customHeight="1">
      <c r="A200" s="2833"/>
      <c r="B200" s="69"/>
      <c r="C200" s="2832"/>
      <c r="D200" s="2832"/>
      <c r="E200" s="2832"/>
      <c r="F200" s="2832"/>
      <c r="G200" s="2832"/>
      <c r="H200" s="2832"/>
      <c r="I200" s="54"/>
      <c r="J200" s="54"/>
      <c r="K200" s="54"/>
      <c r="L200" s="54"/>
      <c r="M200" s="54"/>
      <c r="N200" s="54"/>
      <c r="O200" s="54"/>
      <c r="P200" s="54"/>
    </row>
    <row r="201" spans="1:16" ht="14.25" customHeight="1">
      <c r="A201" s="4646" t="s">
        <v>117</v>
      </c>
      <c r="B201" s="4646"/>
      <c r="C201" s="4646"/>
      <c r="D201" s="4646"/>
      <c r="E201" s="4646"/>
      <c r="F201" s="4646"/>
      <c r="G201" s="4646"/>
      <c r="H201" s="4646"/>
      <c r="I201" s="4646"/>
      <c r="J201" s="2836"/>
      <c r="K201" s="54"/>
      <c r="L201" s="54"/>
      <c r="M201" s="54"/>
      <c r="N201" s="54"/>
      <c r="O201" s="54"/>
      <c r="P201" s="54"/>
    </row>
    <row r="202" spans="1:16" ht="14.25" customHeight="1">
      <c r="A202" s="4646" t="s">
        <v>1721</v>
      </c>
      <c r="B202" s="4646"/>
      <c r="C202" s="4646"/>
      <c r="D202" s="4646"/>
      <c r="E202" s="4646"/>
      <c r="F202" s="4646"/>
      <c r="G202" s="4646"/>
      <c r="H202" s="4646"/>
      <c r="I202" s="4646"/>
      <c r="J202" s="2836"/>
      <c r="K202" s="54"/>
      <c r="L202" s="54"/>
      <c r="M202" s="54"/>
      <c r="N202" s="54"/>
      <c r="O202" s="54"/>
      <c r="P202" s="54"/>
    </row>
    <row r="203" spans="1:16" ht="14.25" customHeight="1">
      <c r="A203" s="2830"/>
      <c r="B203" s="2837"/>
      <c r="C203" s="2830"/>
      <c r="D203" s="2830"/>
      <c r="E203" s="2830"/>
      <c r="F203" s="2830"/>
      <c r="G203" s="2830"/>
      <c r="H203" s="2830"/>
      <c r="I203" s="2830"/>
      <c r="J203" s="54"/>
      <c r="K203" s="54"/>
      <c r="L203" s="54"/>
      <c r="M203" s="54"/>
      <c r="N203" s="54"/>
      <c r="O203" s="54"/>
      <c r="P203" s="54"/>
    </row>
    <row r="204" spans="1:16" ht="14.25" customHeight="1">
      <c r="A204" s="2830"/>
      <c r="B204" s="2837" t="s">
        <v>1791</v>
      </c>
      <c r="C204" s="2830"/>
      <c r="D204" s="2830"/>
      <c r="E204" s="2830"/>
      <c r="F204" s="2830"/>
      <c r="G204" s="2830"/>
      <c r="H204" s="2830"/>
      <c r="I204" s="2830"/>
      <c r="J204" s="54"/>
      <c r="K204" s="54"/>
      <c r="L204" s="54"/>
      <c r="M204" s="54"/>
      <c r="N204" s="54"/>
      <c r="O204" s="54"/>
      <c r="P204" s="54"/>
    </row>
    <row r="205" spans="1:16" ht="14.25" customHeight="1">
      <c r="A205" s="2830"/>
      <c r="B205" s="2837" t="s">
        <v>1792</v>
      </c>
      <c r="C205" s="2830"/>
      <c r="D205" s="2830"/>
      <c r="E205" s="2830"/>
      <c r="F205" s="2830"/>
      <c r="G205" s="2830"/>
      <c r="H205" s="2830"/>
      <c r="I205" s="2830"/>
      <c r="J205" s="54"/>
      <c r="K205" s="54"/>
      <c r="L205" s="54"/>
      <c r="M205" s="54"/>
      <c r="N205" s="54"/>
      <c r="O205" s="54"/>
      <c r="P205" s="54"/>
    </row>
    <row r="206" spans="1:16" ht="14.25" customHeight="1">
      <c r="A206" s="2830"/>
      <c r="B206" s="2837" t="s">
        <v>1793</v>
      </c>
      <c r="C206" s="2830"/>
      <c r="D206" s="2830"/>
      <c r="E206" s="2830"/>
      <c r="F206" s="2830"/>
      <c r="G206" s="2830"/>
      <c r="H206" s="2830"/>
      <c r="I206" s="2830"/>
      <c r="J206" s="54"/>
      <c r="K206" s="54"/>
      <c r="L206" s="54"/>
      <c r="M206" s="54"/>
      <c r="N206" s="54"/>
      <c r="O206" s="54"/>
      <c r="P206" s="54"/>
    </row>
    <row r="207" spans="1:16" ht="14.25" customHeight="1">
      <c r="A207" s="2830"/>
      <c r="B207" s="2837" t="s">
        <v>1794</v>
      </c>
      <c r="C207" s="2830"/>
      <c r="D207" s="2830"/>
      <c r="E207" s="2830"/>
      <c r="F207" s="2830"/>
      <c r="G207" s="2830"/>
      <c r="H207" s="2830"/>
      <c r="I207" s="2830"/>
      <c r="J207" s="54"/>
      <c r="K207" s="54"/>
      <c r="L207" s="54"/>
      <c r="M207" s="54"/>
      <c r="N207" s="54"/>
      <c r="O207" s="54"/>
      <c r="P207" s="54"/>
    </row>
    <row r="208" spans="1:16" ht="14.25" customHeight="1">
      <c r="A208" s="2830"/>
      <c r="B208" s="2837"/>
      <c r="C208" s="2830"/>
      <c r="D208" s="2830"/>
      <c r="E208" s="2830"/>
      <c r="F208" s="2830"/>
      <c r="G208" s="2830"/>
      <c r="H208" s="2830"/>
      <c r="I208" s="2830"/>
      <c r="J208" s="54"/>
      <c r="K208" s="54"/>
      <c r="L208" s="54"/>
      <c r="M208" s="54"/>
      <c r="N208" s="54"/>
      <c r="O208" s="54"/>
      <c r="P208" s="54"/>
    </row>
    <row r="209" spans="1:16" ht="14.25" customHeight="1">
      <c r="A209" s="2830"/>
      <c r="B209" s="2837"/>
      <c r="C209" s="2830"/>
      <c r="D209" s="2830"/>
      <c r="E209" s="2830"/>
      <c r="F209" s="2830"/>
      <c r="G209" s="2830"/>
      <c r="H209" s="2830"/>
      <c r="I209" s="2830"/>
      <c r="J209" s="54"/>
      <c r="K209" s="54"/>
      <c r="L209" s="54"/>
      <c r="M209" s="54"/>
      <c r="N209" s="54"/>
      <c r="O209" s="54"/>
      <c r="P209" s="54"/>
    </row>
    <row r="210" spans="1:16" ht="14.25" customHeight="1">
      <c r="A210" s="2833"/>
      <c r="B210" s="2837"/>
      <c r="C210" s="2833"/>
      <c r="D210" s="2833"/>
      <c r="E210" s="2833"/>
      <c r="F210" s="2833"/>
      <c r="G210" s="2833"/>
      <c r="H210" s="2833"/>
      <c r="I210" s="2833"/>
      <c r="J210" s="54"/>
      <c r="K210" s="54"/>
      <c r="L210" s="54"/>
      <c r="M210" s="54"/>
      <c r="N210" s="54"/>
      <c r="O210" s="54"/>
      <c r="P210" s="54"/>
    </row>
    <row r="211" spans="1:16" ht="14.25" customHeight="1">
      <c r="A211" s="4645" t="s">
        <v>6</v>
      </c>
      <c r="B211" s="4645"/>
      <c r="C211" s="4645"/>
      <c r="D211" s="4645"/>
      <c r="E211" s="4645"/>
      <c r="F211" s="4645"/>
      <c r="G211" s="4645"/>
      <c r="H211" s="4645"/>
      <c r="I211" s="4645"/>
      <c r="J211" s="54"/>
      <c r="K211" s="54"/>
      <c r="L211" s="54"/>
      <c r="M211" s="54"/>
      <c r="N211" s="54"/>
      <c r="O211" s="54"/>
      <c r="P211" s="54"/>
    </row>
    <row r="212" spans="1:16" ht="14.25" customHeight="1">
      <c r="A212" s="2745"/>
      <c r="B212" s="70"/>
      <c r="C212" s="2750"/>
      <c r="D212" s="2750"/>
      <c r="E212" s="2750"/>
      <c r="F212" s="2750"/>
      <c r="G212" s="2750"/>
      <c r="H212" s="2750"/>
      <c r="I212" s="54"/>
      <c r="J212" s="54"/>
      <c r="K212" s="54"/>
      <c r="L212" s="54"/>
      <c r="M212" s="54"/>
      <c r="N212" s="54"/>
      <c r="O212" s="54"/>
      <c r="P212" s="54"/>
    </row>
    <row r="213" spans="1:16" ht="14.25" customHeight="1">
      <c r="A213" s="4641" t="s">
        <v>990</v>
      </c>
      <c r="B213" s="4641"/>
      <c r="C213" s="4641"/>
      <c r="D213" s="4641"/>
      <c r="E213" s="4641"/>
      <c r="F213" s="4641"/>
      <c r="G213" s="4641"/>
      <c r="H213" s="4641"/>
      <c r="I213" s="4641"/>
      <c r="J213" s="98"/>
      <c r="K213" s="54"/>
      <c r="L213" s="54"/>
      <c r="M213" s="54"/>
      <c r="N213" s="54"/>
      <c r="O213" s="54"/>
      <c r="P213" s="54"/>
    </row>
    <row r="214" spans="1:16" ht="14.25" customHeight="1">
      <c r="A214" s="4641" t="s">
        <v>876</v>
      </c>
      <c r="B214" s="4641"/>
      <c r="C214" s="4641"/>
      <c r="D214" s="4641"/>
      <c r="E214" s="4641"/>
      <c r="F214" s="4641"/>
      <c r="G214" s="4641"/>
      <c r="H214" s="4641"/>
      <c r="I214" s="4641"/>
      <c r="J214" s="98"/>
      <c r="K214" s="54"/>
      <c r="L214" s="54"/>
      <c r="M214" s="54"/>
      <c r="N214" s="54"/>
      <c r="O214" s="54"/>
      <c r="P214" s="54"/>
    </row>
    <row r="215" spans="1:16" ht="14.25" customHeight="1">
      <c r="A215" s="54"/>
      <c r="B215" s="54"/>
      <c r="C215" s="2746"/>
      <c r="D215" s="2746"/>
      <c r="E215" s="2746"/>
      <c r="F215" s="2746"/>
      <c r="G215" s="2746"/>
      <c r="H215" s="2746"/>
      <c r="I215" s="54"/>
      <c r="J215" s="54"/>
      <c r="K215" s="54"/>
      <c r="L215" s="54"/>
      <c r="M215" s="54"/>
      <c r="N215" s="54"/>
      <c r="O215" s="54"/>
      <c r="P215" s="54"/>
    </row>
    <row r="216" spans="1:16" ht="14.25" customHeight="1">
      <c r="B216" s="54" t="str">
        <f>"Diese Ergänzungsvereinbarung tritt am "&amp;TEXT(Protokoll!B11,"TT.MM.JJJJ")&amp;" in Kraft und gilt bis zum Ende der in der"</f>
        <v>Diese Ergänzungsvereinbarung tritt am 01.03.2025 in Kraft und gilt bis zum Ende der in der</v>
      </c>
      <c r="C216" s="54"/>
      <c r="D216" s="54"/>
      <c r="E216" s="54"/>
      <c r="F216" s="54"/>
      <c r="G216" s="54"/>
      <c r="H216" s="54"/>
      <c r="I216" s="54"/>
      <c r="J216" s="54"/>
      <c r="K216" s="54"/>
      <c r="L216" s="54"/>
      <c r="M216" s="54"/>
      <c r="N216" s="54"/>
      <c r="O216" s="54"/>
      <c r="P216" s="54"/>
    </row>
    <row r="217" spans="1:16" ht="14.25" customHeight="1">
      <c r="B217" s="54" t="s">
        <v>1715</v>
      </c>
      <c r="C217" s="54"/>
      <c r="D217" s="54"/>
      <c r="E217" s="54"/>
      <c r="F217" s="54"/>
      <c r="G217" s="54"/>
      <c r="H217" s="54"/>
      <c r="I217" s="54"/>
      <c r="J217" s="54"/>
      <c r="K217" s="54"/>
      <c r="L217" s="54"/>
      <c r="M217" s="54"/>
      <c r="N217" s="54"/>
      <c r="O217" s="54"/>
      <c r="P217" s="54"/>
    </row>
    <row r="218" spans="1:16" ht="14.25" customHeight="1">
      <c r="A218" s="54"/>
      <c r="B218" s="54" t="s">
        <v>1716</v>
      </c>
      <c r="C218" s="54"/>
      <c r="D218" s="54"/>
      <c r="E218" s="54"/>
      <c r="F218" s="54"/>
      <c r="G218" s="54"/>
      <c r="H218" s="54"/>
      <c r="I218" s="54"/>
      <c r="J218" s="54"/>
      <c r="K218" s="54"/>
      <c r="L218" s="54"/>
      <c r="M218" s="54"/>
      <c r="N218" s="54"/>
      <c r="O218" s="54"/>
      <c r="P218" s="54"/>
    </row>
    <row r="219" spans="1:16" ht="14.25" customHeight="1">
      <c r="A219" s="54"/>
      <c r="B219" s="54"/>
      <c r="C219" s="54"/>
      <c r="D219" s="54"/>
      <c r="E219" s="54"/>
      <c r="F219" s="54"/>
      <c r="G219" s="54"/>
      <c r="H219" s="54"/>
      <c r="I219" s="54"/>
      <c r="J219" s="54"/>
      <c r="K219" s="54"/>
      <c r="L219" s="54"/>
      <c r="M219" s="54"/>
      <c r="N219" s="54"/>
      <c r="O219" s="54"/>
      <c r="P219" s="54"/>
    </row>
    <row r="220" spans="1:16" ht="14.25" customHeight="1">
      <c r="A220" s="54"/>
      <c r="B220" s="54" t="s">
        <v>1978</v>
      </c>
      <c r="C220" s="54"/>
      <c r="D220" s="54"/>
      <c r="E220" s="54"/>
      <c r="F220" s="54"/>
      <c r="G220" s="54"/>
      <c r="H220" s="54"/>
      <c r="I220" s="54"/>
      <c r="J220" s="54"/>
      <c r="K220" s="54"/>
      <c r="L220" s="54"/>
      <c r="M220" s="54"/>
      <c r="N220" s="54"/>
      <c r="O220" s="54"/>
      <c r="P220" s="54"/>
    </row>
    <row r="221" spans="1:16" ht="14.25" customHeight="1">
      <c r="A221" s="54"/>
      <c r="B221" s="54" t="s">
        <v>1979</v>
      </c>
      <c r="C221" s="54"/>
      <c r="D221" s="54"/>
      <c r="E221" s="54"/>
      <c r="F221" s="54"/>
      <c r="G221" s="54"/>
      <c r="H221" s="54"/>
      <c r="I221" s="54"/>
      <c r="J221" s="54"/>
      <c r="K221" s="54"/>
      <c r="L221" s="54"/>
      <c r="M221" s="54"/>
      <c r="N221" s="54"/>
      <c r="O221" s="54"/>
      <c r="P221" s="54"/>
    </row>
    <row r="222" spans="1:16" ht="14.25" customHeight="1">
      <c r="A222" s="54"/>
      <c r="B222" s="54" t="s">
        <v>1980</v>
      </c>
      <c r="C222" s="54"/>
      <c r="D222" s="54"/>
      <c r="E222" s="54"/>
      <c r="F222" s="54"/>
      <c r="G222" s="54"/>
      <c r="H222" s="54"/>
      <c r="I222" s="54"/>
      <c r="J222" s="54"/>
      <c r="K222" s="54"/>
      <c r="L222" s="54"/>
      <c r="M222" s="54"/>
      <c r="N222" s="54"/>
      <c r="O222" s="54"/>
      <c r="P222" s="54"/>
    </row>
    <row r="223" spans="1:16" ht="14.25" customHeight="1">
      <c r="A223" s="54"/>
      <c r="B223" s="54" t="s">
        <v>1981</v>
      </c>
      <c r="C223" s="54"/>
      <c r="D223" s="54"/>
      <c r="E223" s="54"/>
      <c r="F223" s="54"/>
      <c r="G223" s="54"/>
      <c r="H223" s="54"/>
      <c r="I223" s="54"/>
      <c r="J223" s="54"/>
      <c r="K223" s="54"/>
      <c r="L223" s="54"/>
      <c r="M223" s="54"/>
      <c r="N223" s="54"/>
      <c r="O223" s="54"/>
      <c r="P223" s="54"/>
    </row>
    <row r="224" spans="1:16" ht="14.25" customHeight="1">
      <c r="A224" s="54"/>
      <c r="B224" s="54"/>
      <c r="C224" s="54"/>
      <c r="D224" s="54"/>
      <c r="E224" s="54"/>
      <c r="F224" s="54"/>
      <c r="G224" s="54"/>
      <c r="H224" s="54"/>
      <c r="I224" s="54"/>
      <c r="J224" s="54"/>
      <c r="K224" s="54"/>
      <c r="L224" s="54"/>
      <c r="M224" s="54"/>
      <c r="N224" s="54"/>
      <c r="O224" s="54"/>
      <c r="P224" s="54"/>
    </row>
    <row r="225" spans="1:16" ht="14.25" customHeight="1">
      <c r="A225" s="54"/>
      <c r="B225" s="54" t="s">
        <v>1714</v>
      </c>
      <c r="C225" s="54"/>
      <c r="D225" s="54"/>
      <c r="E225" s="54"/>
      <c r="F225" s="54"/>
      <c r="G225" s="54"/>
      <c r="H225" s="54"/>
      <c r="I225" s="54"/>
      <c r="J225" s="54"/>
      <c r="K225" s="54"/>
      <c r="L225" s="54"/>
      <c r="M225" s="54"/>
      <c r="N225" s="54"/>
      <c r="O225" s="54"/>
      <c r="P225" s="54"/>
    </row>
    <row r="226" spans="1:16" ht="14.25" customHeight="1">
      <c r="A226" s="54"/>
      <c r="B226" s="54" t="s">
        <v>1704</v>
      </c>
      <c r="C226" s="54"/>
      <c r="D226" s="54"/>
      <c r="E226" s="54"/>
      <c r="F226" s="54"/>
      <c r="G226" s="54"/>
      <c r="H226" s="54"/>
      <c r="I226" s="54"/>
      <c r="J226" s="54"/>
      <c r="K226" s="54"/>
      <c r="L226" s="54"/>
      <c r="M226" s="54"/>
      <c r="N226" s="54"/>
      <c r="O226" s="54"/>
      <c r="P226" s="54"/>
    </row>
    <row r="227" spans="1:16" ht="14.25" customHeight="1">
      <c r="A227" s="63"/>
      <c r="B227" s="54"/>
      <c r="C227" s="54"/>
      <c r="D227" s="54"/>
      <c r="E227" s="54"/>
      <c r="F227" s="54"/>
      <c r="G227" s="54"/>
      <c r="H227" s="54"/>
      <c r="I227" s="54"/>
      <c r="J227" s="54"/>
      <c r="K227" s="54"/>
      <c r="L227" s="54"/>
      <c r="M227" s="54"/>
      <c r="N227" s="54"/>
      <c r="O227" s="54"/>
      <c r="P227" s="54"/>
    </row>
    <row r="228" spans="1:16" ht="14.25" customHeight="1">
      <c r="B228" s="90" t="e">
        <f ca="1">IF(Ort_Träger=VLOOKUP(Ort,Datenbereich,6,FALSE),"",Ort_Träger&amp;", ")&amp;VLOOKUP(Ort,Datenbereich,6,FALSE)&amp;", "&amp;IF(Ort_Träger="Münster","",IF(Ort_Träger="Köln","",VLOOKUP(Ort,Datenbereich,7,FALSE)&amp;", "))&amp;TEXT(TODAY(),"TT.MM.JJJJ")</f>
        <v>#N/A</v>
      </c>
      <c r="C228" s="54"/>
      <c r="D228" s="54"/>
      <c r="E228" s="54"/>
      <c r="F228" s="54"/>
      <c r="G228" s="54"/>
      <c r="H228" s="54"/>
      <c r="I228" s="76"/>
      <c r="J228" s="76"/>
      <c r="K228" s="76"/>
      <c r="L228" s="76"/>
      <c r="M228" s="76"/>
      <c r="N228" s="76"/>
      <c r="O228" s="76"/>
      <c r="P228" s="76"/>
    </row>
    <row r="229" spans="1:16" ht="14.25" customHeight="1">
      <c r="A229" s="91"/>
      <c r="B229" s="67"/>
      <c r="C229" s="54"/>
      <c r="D229" s="54"/>
      <c r="E229" s="54"/>
      <c r="F229" s="54"/>
      <c r="G229" s="54"/>
      <c r="H229" s="54"/>
      <c r="I229" s="2745"/>
      <c r="J229" s="2745"/>
      <c r="K229" s="2745"/>
      <c r="L229" s="2745"/>
      <c r="M229" s="2745"/>
      <c r="N229" s="2745"/>
      <c r="O229" s="2745"/>
      <c r="P229" s="2745"/>
    </row>
    <row r="230" spans="1:16" ht="14.25" customHeight="1">
      <c r="A230" s="94"/>
      <c r="B230" s="94"/>
      <c r="C230" s="54"/>
      <c r="D230" s="54"/>
      <c r="E230" s="54"/>
      <c r="F230" s="54"/>
      <c r="G230" s="54"/>
      <c r="H230" s="54"/>
    </row>
    <row r="231" spans="1:16" ht="14.25" customHeight="1">
      <c r="A231" s="94"/>
      <c r="B231" s="94"/>
      <c r="C231" s="54"/>
      <c r="D231" s="54"/>
      <c r="E231" s="54"/>
      <c r="F231" s="54"/>
      <c r="G231" s="54"/>
      <c r="H231" s="54"/>
    </row>
    <row r="232" spans="1:16" ht="14.25" customHeight="1">
      <c r="A232" s="93"/>
      <c r="B232" s="93"/>
      <c r="C232" s="69"/>
      <c r="D232" s="69"/>
      <c r="E232" s="69"/>
      <c r="F232" s="69"/>
      <c r="G232" s="69"/>
      <c r="H232" s="67"/>
    </row>
    <row r="233" spans="1:16" ht="14.25" customHeight="1">
      <c r="A233" s="93"/>
      <c r="B233" s="93"/>
      <c r="C233" s="54"/>
      <c r="D233" s="54"/>
      <c r="E233" s="54"/>
      <c r="F233" s="54"/>
      <c r="G233" s="54"/>
      <c r="H233" s="54"/>
    </row>
    <row r="234" spans="1:16" ht="14.25" customHeight="1">
      <c r="A234" s="93"/>
      <c r="B234" s="93"/>
    </row>
    <row r="235" spans="1:16" ht="14.25" customHeight="1">
      <c r="A235" s="93"/>
      <c r="B235" s="93"/>
    </row>
    <row r="236" spans="1:16" ht="14.25" customHeight="1">
      <c r="A236" s="93"/>
      <c r="B236" s="93"/>
    </row>
    <row r="237" spans="1:16" ht="14.25" customHeight="1">
      <c r="A237" s="93"/>
      <c r="B237" s="93"/>
    </row>
    <row r="238" spans="1:16" ht="14.25" customHeight="1" thickBot="1">
      <c r="A238" s="92"/>
      <c r="B238" s="92"/>
      <c r="C238" s="92"/>
      <c r="D238" s="92"/>
      <c r="E238" s="92"/>
      <c r="F238" s="54"/>
      <c r="G238" s="92"/>
      <c r="H238" s="92"/>
    </row>
    <row r="239" spans="1:16" ht="14.25" customHeight="1">
      <c r="A239" s="4617" t="str">
        <f>CONCATENATE(Träger," ",Träger2)</f>
        <v xml:space="preserve"> </v>
      </c>
      <c r="B239" s="4617"/>
      <c r="C239" s="4617"/>
      <c r="D239" s="4617"/>
      <c r="E239" s="4617"/>
      <c r="F239" s="93"/>
      <c r="G239" s="4619" t="s">
        <v>355</v>
      </c>
      <c r="H239" s="4619"/>
    </row>
    <row r="240" spans="1:16" ht="14.25" customHeight="1">
      <c r="A240" s="4618"/>
      <c r="B240" s="4618"/>
      <c r="C240" s="4618"/>
      <c r="D240" s="4618"/>
      <c r="E240" s="4618"/>
      <c r="F240" s="93"/>
      <c r="G240" s="4620" t="str">
        <f>"in Nordrhein-Westfalen, vertreten durch"</f>
        <v>in Nordrhein-Westfalen, vertreten durch</v>
      </c>
      <c r="H240" s="4620"/>
    </row>
    <row r="241" spans="1:8" ht="14.25" customHeight="1">
      <c r="A241" s="4618"/>
      <c r="B241" s="4618"/>
      <c r="C241" s="4618"/>
      <c r="D241" s="4618"/>
      <c r="E241" s="4618"/>
      <c r="F241" s="93"/>
      <c r="G241" s="4620" t="str">
        <f>IF(Ergebnis!C3="vdek","den vdek-Pflegesatzverhandler",IF(Ergebnis!C3="AOK NO","die Pflegekasse bei der AOK Rheinland/Hamburg",IF(Ergebnis!C3="AOK WL","die Pflegekasse bei der AOK NordWest",IF(Ergebnis!C3="IKK","die IKK classic - Pflegekasse",IF(Ergebnis!C3="Knappschaft","die KNAPPSCHAFT",IF(Ergebnis!C3="LPK","die Sozialversicherung für Landwirtschaft, Forsten und Gartenbau als",IF(Ergebnis!C3="BKK","den BKK-Landesverband NORDWEST","")))))))</f>
        <v/>
      </c>
      <c r="H241" s="4620"/>
    </row>
    <row r="242" spans="1:8" ht="14.25" customHeight="1">
      <c r="G242" s="4601" t="str">
        <f>IF('Copy &amp; Paste'!I1="BEK","der Pflegekasse der BARMER",IF('Copy &amp; Paste'!I1="BEK Schade","der Pflegekasse der BARMER",IF('Copy &amp; Paste'!I1="DAK"," der DAK-Gesundheit-PFLEGEKASSE",IF('Copy &amp; Paste'!I1="vdek","",IF(Ergebnis!C3="AOK WL","- die Gesundheitskasse.",IF(Ergebnis!C3="AOK NO","- die Gesundheitskasse.",""))))))</f>
        <v/>
      </c>
      <c r="H242" s="4601"/>
    </row>
    <row r="243" spans="1:8" ht="14.25" customHeight="1"/>
    <row r="244" spans="1:8" ht="14.25" customHeight="1"/>
    <row r="245" spans="1:8" ht="14.25" customHeight="1"/>
    <row r="246" spans="1:8" ht="14.25" customHeight="1"/>
    <row r="247" spans="1:8" ht="14.25" customHeight="1"/>
    <row r="248" spans="1:8" ht="14.25" customHeight="1"/>
    <row r="249" spans="1:8" ht="14.25" customHeight="1">
      <c r="G249" s="2829"/>
      <c r="H249" s="2829"/>
    </row>
    <row r="250" spans="1:8" ht="14.25" customHeight="1">
      <c r="G250" s="4613"/>
      <c r="H250" s="4613"/>
    </row>
    <row r="251" spans="1:8" ht="14.25" customHeight="1">
      <c r="G251" s="4640"/>
      <c r="H251" s="4640"/>
    </row>
    <row r="252" spans="1:8" ht="14.25" customHeight="1"/>
    <row r="253" spans="1:8" ht="14.25" customHeight="1"/>
    <row r="254" spans="1:8" ht="14.25" customHeight="1"/>
    <row r="255" spans="1:8" ht="14.25" customHeight="1"/>
    <row r="256" spans="1:8"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sheetData>
  <mergeCells count="36">
    <mergeCell ref="G242:H242"/>
    <mergeCell ref="G250:H250"/>
    <mergeCell ref="G251:H251"/>
    <mergeCell ref="A214:I214"/>
    <mergeCell ref="A239:E241"/>
    <mergeCell ref="G239:H239"/>
    <mergeCell ref="G240:H240"/>
    <mergeCell ref="G241:H241"/>
    <mergeCell ref="A213:I213"/>
    <mergeCell ref="A142:I142"/>
    <mergeCell ref="A176:I176"/>
    <mergeCell ref="A55:I55"/>
    <mergeCell ref="A69:I69"/>
    <mergeCell ref="A111:I111"/>
    <mergeCell ref="A201:I201"/>
    <mergeCell ref="A202:I202"/>
    <mergeCell ref="A211:I211"/>
    <mergeCell ref="C116:C118"/>
    <mergeCell ref="D116:F118"/>
    <mergeCell ref="G116:G118"/>
    <mergeCell ref="D119:F119"/>
    <mergeCell ref="D124:F124"/>
    <mergeCell ref="H116:H118"/>
    <mergeCell ref="A159:I159"/>
    <mergeCell ref="D120:F120"/>
    <mergeCell ref="D121:F121"/>
    <mergeCell ref="D122:F122"/>
    <mergeCell ref="D123:F123"/>
    <mergeCell ref="A1:I1"/>
    <mergeCell ref="A68:I68"/>
    <mergeCell ref="A110:I110"/>
    <mergeCell ref="A108:I108"/>
    <mergeCell ref="A2:I2"/>
    <mergeCell ref="A3:I3"/>
    <mergeCell ref="A52:I52"/>
    <mergeCell ref="A54:I54"/>
  </mergeCells>
  <conditionalFormatting sqref="H14">
    <cfRule type="cellIs" dxfId="9" priority="6" operator="equal">
      <formula>0</formula>
    </cfRule>
  </conditionalFormatting>
  <conditionalFormatting sqref="A12 H10">
    <cfRule type="cellIs" dxfId="8" priority="5" operator="equal">
      <formula>0</formula>
    </cfRule>
  </conditionalFormatting>
  <printOptions horizontalCentered="1"/>
  <pageMargins left="0.78740157480314965" right="0.59055118110236227" top="0.39370078740157483" bottom="0.31496062992125984" header="0.31496062992125984" footer="0.23622047244094491"/>
  <pageSetup paperSize="9" scale="94" fitToWidth="7" fitToHeight="7" orientation="portrait" r:id="rId1"/>
  <headerFooter alignWithMargins="0"/>
  <rowBreaks count="4" manualBreakCount="4">
    <brk id="51" max="16383" man="1"/>
    <brk id="107" max="8" man="1"/>
    <brk id="158" max="8" man="1"/>
    <brk id="210" max="8"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5DC0F37D-DA3A-43DF-B4DE-3E3C6D7FE1F5}">
            <xm:f>'Copy &amp; Paste'!$H$12=""</xm:f>
            <x14:dxf>
              <font>
                <color theme="0"/>
              </font>
            </x14:dxf>
          </x14:cfRule>
          <xm:sqref>A172:K189</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5">
    <tabColor rgb="FFFF0000"/>
  </sheetPr>
  <dimension ref="A1:V88"/>
  <sheetViews>
    <sheetView zoomScaleNormal="100" zoomScaleSheetLayoutView="120" workbookViewId="0">
      <selection activeCell="U2" sqref="U2"/>
    </sheetView>
  </sheetViews>
  <sheetFormatPr baseColWidth="10" defaultColWidth="11.42578125" defaultRowHeight="12.75"/>
  <cols>
    <col min="1" max="1" width="6" style="547" customWidth="1"/>
    <col min="2" max="9" width="5.7109375" style="547" customWidth="1"/>
    <col min="10" max="10" width="6.7109375" style="547" customWidth="1"/>
    <col min="11" max="14" width="5.7109375" style="547" customWidth="1"/>
    <col min="15" max="15" width="7.85546875" style="547" customWidth="1"/>
    <col min="16" max="16384" width="11.42578125" style="547"/>
  </cols>
  <sheetData>
    <row r="1" spans="1:22">
      <c r="A1" s="546"/>
      <c r="U1" s="548" t="s">
        <v>1203</v>
      </c>
    </row>
    <row r="2" spans="1:22">
      <c r="U2" s="549"/>
      <c r="V2" s="550"/>
    </row>
    <row r="7" spans="1:22" ht="15.75">
      <c r="A7" s="551"/>
    </row>
    <row r="9" spans="1:22">
      <c r="A9" s="5120" t="s">
        <v>735</v>
      </c>
      <c r="B9" s="5120"/>
      <c r="C9" s="5120"/>
      <c r="D9" s="5120"/>
      <c r="E9" s="5120"/>
      <c r="F9" s="5120"/>
      <c r="G9" s="5120"/>
      <c r="H9" s="5120"/>
      <c r="I9" s="5120"/>
      <c r="J9" s="5120"/>
    </row>
    <row r="10" spans="1:22">
      <c r="A10" s="5120" t="e">
        <f>"c/o "&amp;VLOOKUP(U2,Kontakte,7,FALSE)&amp;", "&amp;VLOOKUP(U2,Kontakte,9,FALSE)&amp;","</f>
        <v>#REF!</v>
      </c>
      <c r="B10" s="5120"/>
      <c r="C10" s="5120"/>
      <c r="D10" s="5120"/>
      <c r="E10" s="5120"/>
      <c r="F10" s="5120"/>
      <c r="G10" s="5120"/>
      <c r="H10" s="5120"/>
      <c r="I10" s="5120"/>
      <c r="J10" s="5120"/>
    </row>
    <row r="11" spans="1:22">
      <c r="A11" s="5121" t="e">
        <f>VLOOKUP(U2,Kontakte,10,FALSE)&amp;" "&amp;VLOOKUP(U2,Kontakte,11,FALSE)</f>
        <v>#REF!</v>
      </c>
      <c r="B11" s="5121"/>
      <c r="C11" s="5121"/>
      <c r="D11" s="5121"/>
      <c r="E11" s="5121"/>
      <c r="F11" s="5121"/>
      <c r="G11" s="5121"/>
      <c r="H11" s="5121"/>
      <c r="I11" s="5121"/>
      <c r="J11" s="5121"/>
    </row>
    <row r="13" spans="1:22" ht="14.25">
      <c r="A13" s="552"/>
      <c r="J13" s="553" t="s">
        <v>736</v>
      </c>
    </row>
    <row r="14" spans="1:22" ht="14.25">
      <c r="A14" s="5122" t="str">
        <f>CONCATENATE(Träger," ",Träger2)</f>
        <v xml:space="preserve"> </v>
      </c>
      <c r="B14" s="5122"/>
      <c r="C14" s="5122"/>
      <c r="D14" s="5122"/>
      <c r="E14" s="5122"/>
      <c r="F14" s="5122"/>
      <c r="G14" s="5122"/>
      <c r="H14" s="5122"/>
      <c r="I14" s="5122"/>
      <c r="J14" s="554" t="e">
        <f>VLOOKUP(U2,Kontakte,7,FALSE)</f>
        <v>#REF!</v>
      </c>
    </row>
    <row r="15" spans="1:22" ht="14.25">
      <c r="A15" s="552">
        <f>'Copy &amp; Paste'!E7</f>
        <v>0</v>
      </c>
      <c r="J15" s="554" t="e">
        <f>VLOOKUP(U2,Kontakte,8,FALSE)</f>
        <v>#REF!</v>
      </c>
    </row>
    <row r="16" spans="1:22" ht="14.25">
      <c r="A16" s="552" t="str">
        <f>CONCATENATE('Seite 1'!$F$8," ",'Seite 1'!$G$8)</f>
        <v xml:space="preserve"> </v>
      </c>
      <c r="B16" s="552"/>
      <c r="J16" s="554" t="e">
        <f>VLOOKUP(U2,Kontakte,9,FALSE)</f>
        <v>#REF!</v>
      </c>
    </row>
    <row r="17" spans="10:11">
      <c r="J17" s="555" t="e">
        <f>VLOOKUP(U2,Kontakte,10,FALSE)</f>
        <v>#REF!</v>
      </c>
      <c r="K17" s="556" t="e">
        <f>VLOOKUP(U2,Kontakte,11,FALSE)</f>
        <v>#REF!</v>
      </c>
    </row>
    <row r="18" spans="10:11">
      <c r="J18" s="557"/>
    </row>
    <row r="19" spans="10:11">
      <c r="J19" s="557" t="e">
        <f>"Telefon: "&amp;VLOOKUP(U2,Kontakte,4,FALSE)</f>
        <v>#REF!</v>
      </c>
    </row>
    <row r="20" spans="10:11">
      <c r="J20" s="558" t="e">
        <f>"Telefax: "&amp;VLOOKUP(U2,Kontakte,5,FALSE)</f>
        <v>#REF!</v>
      </c>
    </row>
    <row r="21" spans="10:11">
      <c r="J21" s="559" t="e">
        <f>"E-Mail:  "&amp;VLOOKUP(U2,Kontakte,6,FALSE)</f>
        <v>#REF!</v>
      </c>
    </row>
    <row r="22" spans="10:11">
      <c r="J22" s="557"/>
    </row>
    <row r="23" spans="10:11">
      <c r="J23" s="557" t="s">
        <v>737</v>
      </c>
    </row>
    <row r="24" spans="10:11">
      <c r="J24" s="557" t="s">
        <v>738</v>
      </c>
    </row>
    <row r="25" spans="10:11">
      <c r="J25" s="557" t="s">
        <v>739</v>
      </c>
    </row>
    <row r="26" spans="10:11">
      <c r="J26" s="557" t="s">
        <v>350</v>
      </c>
    </row>
    <row r="27" spans="10:11">
      <c r="J27" s="557" t="s">
        <v>1407</v>
      </c>
    </row>
    <row r="28" spans="10:11">
      <c r="J28" s="557" t="s">
        <v>1194</v>
      </c>
    </row>
    <row r="29" spans="10:11">
      <c r="J29" s="557" t="s">
        <v>832</v>
      </c>
    </row>
    <row r="30" spans="10:11">
      <c r="J30" s="557" t="s">
        <v>833</v>
      </c>
    </row>
    <row r="31" spans="10:11">
      <c r="J31" s="557" t="s">
        <v>740</v>
      </c>
    </row>
    <row r="32" spans="10:11" ht="13.5">
      <c r="J32" s="560"/>
    </row>
    <row r="35" spans="1:15">
      <c r="J35" s="550"/>
    </row>
    <row r="37" spans="1:15">
      <c r="A37" s="547" t="s">
        <v>118</v>
      </c>
      <c r="C37" s="5123"/>
      <c r="D37" s="5123"/>
      <c r="F37" s="561" t="s">
        <v>1204</v>
      </c>
      <c r="G37" s="562"/>
      <c r="H37" s="562"/>
      <c r="I37" s="562"/>
      <c r="L37" s="5124">
        <f ca="1">TODAY()</f>
        <v>45750</v>
      </c>
      <c r="M37" s="5124"/>
      <c r="N37" s="5124"/>
      <c r="O37" s="5124"/>
    </row>
    <row r="38" spans="1:15">
      <c r="A38" s="5125">
        <f>IK</f>
        <v>0</v>
      </c>
      <c r="B38" s="5125"/>
      <c r="C38" s="5125"/>
      <c r="F38" s="562" t="e">
        <f>VLOOKUP(U2,Kontakte,3,FALSE)&amp;" "&amp;VLOOKUP(U2,Kontakte,2,FALSE)</f>
        <v>#REF!</v>
      </c>
      <c r="G38" s="562"/>
      <c r="H38" s="562"/>
      <c r="I38" s="562"/>
    </row>
    <row r="39" spans="1:15">
      <c r="J39" s="562"/>
      <c r="K39" s="563"/>
      <c r="L39" s="563"/>
      <c r="M39" s="563"/>
      <c r="N39" s="563"/>
      <c r="O39" s="563"/>
    </row>
    <row r="40" spans="1:15">
      <c r="J40" s="562"/>
    </row>
    <row r="41" spans="1:15">
      <c r="A41" s="556" t="s">
        <v>1776</v>
      </c>
    </row>
    <row r="42" spans="1:15">
      <c r="A42" s="564" t="str">
        <f ca="1">"zur Vereinbarung gemäß §§ 84, 85 und § 87 SGB XI vom "&amp;TEXT('VV 84 9'!K1,"TT.MM.JJJJ")</f>
        <v>zur Vereinbarung gemäß §§ 84, 85 und § 87 SGB XI vom 03.04.2025</v>
      </c>
      <c r="B42" s="564"/>
      <c r="C42" s="564"/>
      <c r="D42" s="564"/>
      <c r="E42" s="564"/>
      <c r="F42" s="564"/>
    </row>
    <row r="43" spans="1:15">
      <c r="A43" s="565" t="s">
        <v>1195</v>
      </c>
      <c r="B43" s="547" t="str">
        <f>CONCATENATE(IF('Copy &amp; Paste'!B6="",'Copy &amp; Paste'!B5&amp;", ",CONCATENATE('Copy &amp; Paste'!B5,", - ",'Copy &amp; Paste'!B6,"- , ")),'Seite 1'!C7,", ",'Seite 1'!C8," ",'Seite 1'!D8)</f>
        <v xml:space="preserve">, ,  </v>
      </c>
    </row>
    <row r="46" spans="1:15">
      <c r="A46" s="566" t="s">
        <v>794</v>
      </c>
    </row>
    <row r="48" spans="1:15">
      <c r="A48" s="566" t="s">
        <v>1769</v>
      </c>
    </row>
    <row r="49" spans="1:15">
      <c r="A49" s="566" t="s">
        <v>1777</v>
      </c>
    </row>
    <row r="50" spans="1:15">
      <c r="A50" s="566" t="s">
        <v>1770</v>
      </c>
    </row>
    <row r="51" spans="1:15">
      <c r="A51" s="567"/>
      <c r="B51" s="567"/>
      <c r="C51" s="567"/>
      <c r="D51" s="567"/>
      <c r="E51" s="567"/>
      <c r="F51" s="567"/>
      <c r="G51" s="567"/>
      <c r="H51" s="567"/>
      <c r="I51" s="567"/>
      <c r="J51" s="567"/>
      <c r="K51" s="567"/>
      <c r="L51" s="567"/>
      <c r="M51" s="567"/>
      <c r="N51" s="567"/>
      <c r="O51" s="567"/>
    </row>
    <row r="52" spans="1:15">
      <c r="A52" s="568" t="s">
        <v>1771</v>
      </c>
      <c r="B52" s="567"/>
      <c r="C52" s="567"/>
      <c r="D52" s="567"/>
      <c r="E52" s="567"/>
      <c r="F52" s="567"/>
      <c r="G52" s="567"/>
      <c r="H52" s="567"/>
      <c r="I52" s="567"/>
      <c r="J52" s="567"/>
      <c r="K52" s="567"/>
      <c r="L52" s="567"/>
      <c r="M52" s="567"/>
      <c r="N52" s="567"/>
      <c r="O52" s="567"/>
    </row>
    <row r="53" spans="1:15">
      <c r="A53" s="547" t="s">
        <v>1778</v>
      </c>
    </row>
    <row r="54" spans="1:15">
      <c r="A54" s="566"/>
    </row>
    <row r="55" spans="1:15">
      <c r="A55" s="566"/>
      <c r="J55" s="569"/>
    </row>
    <row r="56" spans="1:15">
      <c r="J56" s="569"/>
    </row>
    <row r="57" spans="1:15">
      <c r="A57" s="5126" t="s">
        <v>1220</v>
      </c>
      <c r="B57" s="5127"/>
      <c r="C57" s="5127"/>
      <c r="D57" s="5127"/>
      <c r="E57" s="5127"/>
      <c r="F57" s="5127"/>
      <c r="G57" s="5127"/>
      <c r="H57" s="5127"/>
      <c r="I57" s="5127"/>
      <c r="J57" s="5127"/>
      <c r="K57" s="5127"/>
      <c r="L57" s="5127"/>
      <c r="M57" s="5127"/>
      <c r="N57" s="5127"/>
      <c r="O57" s="5127"/>
    </row>
    <row r="58" spans="1:15">
      <c r="A58" s="5120"/>
      <c r="B58" s="5120"/>
      <c r="C58" s="5120"/>
      <c r="D58" s="5120"/>
      <c r="E58" s="5120"/>
      <c r="F58" s="5120"/>
      <c r="G58" s="5120"/>
      <c r="H58" s="5120"/>
      <c r="I58" s="5120"/>
      <c r="J58" s="5120"/>
      <c r="K58" s="5120"/>
      <c r="L58" s="5120"/>
      <c r="M58" s="5120"/>
      <c r="N58" s="5120"/>
      <c r="O58" s="5120"/>
    </row>
    <row r="59" spans="1:15">
      <c r="A59" s="569"/>
      <c r="B59" s="569"/>
      <c r="C59" s="569"/>
      <c r="D59" s="569"/>
      <c r="E59" s="569"/>
      <c r="F59" s="569"/>
      <c r="G59" s="569"/>
      <c r="H59" s="569"/>
      <c r="I59" s="569"/>
      <c r="J59" s="569"/>
      <c r="K59" s="569"/>
      <c r="L59" s="569"/>
      <c r="M59" s="569"/>
      <c r="N59" s="569"/>
      <c r="O59" s="569"/>
    </row>
    <row r="60" spans="1:15">
      <c r="A60" s="569"/>
      <c r="B60" s="569"/>
      <c r="C60" s="569"/>
      <c r="D60" s="569"/>
      <c r="E60" s="569"/>
      <c r="F60" s="569"/>
      <c r="G60" s="569"/>
      <c r="H60" s="569"/>
      <c r="I60" s="569"/>
      <c r="J60" s="569"/>
      <c r="K60" s="569"/>
      <c r="L60" s="569"/>
      <c r="M60" s="569"/>
      <c r="N60" s="569"/>
      <c r="O60" s="569"/>
    </row>
    <row r="61" spans="1:15">
      <c r="A61" s="566" t="s">
        <v>1772</v>
      </c>
      <c r="K61" s="569"/>
      <c r="L61" s="569"/>
      <c r="M61" s="569"/>
      <c r="N61" s="569"/>
      <c r="O61" s="569"/>
    </row>
    <row r="62" spans="1:15">
      <c r="A62" s="570" t="s">
        <v>1779</v>
      </c>
      <c r="K62" s="569"/>
      <c r="L62" s="569"/>
      <c r="M62" s="569"/>
      <c r="N62" s="569"/>
      <c r="O62" s="569"/>
    </row>
    <row r="63" spans="1:15">
      <c r="A63" s="570"/>
      <c r="K63" s="569"/>
      <c r="L63" s="569"/>
      <c r="M63" s="569"/>
      <c r="N63" s="569"/>
      <c r="O63" s="569"/>
    </row>
    <row r="64" spans="1:15">
      <c r="A64" s="5113" t="str">
        <f>TEXT(Protokoll!B11,"TT.MM.JJJJ")&amp;" bis "&amp;TEXT(Protokoll!D11,"TT.MM.JJJJ")&amp;"."</f>
        <v>01.03.2025 bis 28.02.2026.</v>
      </c>
      <c r="B64" s="5113"/>
      <c r="C64" s="5113"/>
      <c r="D64" s="5113"/>
      <c r="E64" s="5113"/>
      <c r="F64" s="5113"/>
      <c r="G64" s="5113"/>
      <c r="H64" s="5113"/>
      <c r="I64" s="5113"/>
      <c r="J64" s="5113"/>
      <c r="K64" s="5113"/>
      <c r="L64" s="5113"/>
      <c r="M64" s="5113"/>
      <c r="N64" s="5113"/>
      <c r="O64" s="5113"/>
    </row>
    <row r="65" spans="1:15">
      <c r="A65" s="571"/>
      <c r="B65" s="571"/>
      <c r="C65" s="571"/>
      <c r="D65" s="571"/>
      <c r="E65" s="571"/>
      <c r="F65" s="571"/>
      <c r="G65" s="571"/>
      <c r="H65" s="571"/>
      <c r="I65" s="571"/>
      <c r="J65" s="571"/>
      <c r="K65" s="571"/>
      <c r="L65" s="571"/>
      <c r="M65" s="571"/>
      <c r="N65" s="571"/>
      <c r="O65" s="571"/>
    </row>
    <row r="66" spans="1:15">
      <c r="A66" s="572"/>
      <c r="B66" s="571"/>
      <c r="C66" s="571"/>
      <c r="D66" s="571"/>
      <c r="E66" s="571"/>
      <c r="F66" s="571"/>
      <c r="G66" s="571"/>
      <c r="H66" s="571"/>
      <c r="I66" s="571"/>
      <c r="J66" s="571"/>
      <c r="K66" s="571"/>
      <c r="L66" s="571"/>
      <c r="M66" s="571"/>
      <c r="N66" s="571"/>
      <c r="O66" s="571"/>
    </row>
    <row r="67" spans="1:15" ht="13.5" thickBot="1">
      <c r="A67" s="573"/>
      <c r="B67" s="574"/>
      <c r="C67" s="574"/>
      <c r="D67" s="575"/>
      <c r="E67" s="575"/>
      <c r="F67" s="575"/>
      <c r="G67" s="575"/>
      <c r="H67" s="575"/>
      <c r="I67" s="575"/>
      <c r="J67" s="575"/>
      <c r="K67" s="575"/>
      <c r="L67" s="575"/>
      <c r="M67" s="575"/>
      <c r="N67" s="575"/>
      <c r="O67" s="576"/>
    </row>
    <row r="68" spans="1:15">
      <c r="A68" s="5114" t="str">
        <f>"Vergütungszuschlag für "&amp;Protokoll!C68&amp;" VK zusätzliche Pflegehilfskraftstellen nach § 84 Abs. 9 SGB XI"</f>
        <v>Vergütungszuschlag für  VK zusätzliche Pflegehilfskraftstellen nach § 84 Abs. 9 SGB XI</v>
      </c>
      <c r="B68" s="5115"/>
      <c r="C68" s="5115"/>
      <c r="D68" s="5115"/>
      <c r="E68" s="5115"/>
      <c r="F68" s="5115"/>
      <c r="G68" s="5115"/>
      <c r="H68" s="5115"/>
      <c r="I68" s="5115"/>
      <c r="J68" s="5115"/>
      <c r="K68" s="5115"/>
      <c r="L68" s="5115"/>
      <c r="M68" s="5115"/>
      <c r="N68" s="5115"/>
      <c r="O68" s="5116"/>
    </row>
    <row r="69" spans="1:15" ht="13.5" thickBot="1">
      <c r="A69" s="5117"/>
      <c r="B69" s="5118"/>
      <c r="C69" s="5118"/>
      <c r="D69" s="5118"/>
      <c r="E69" s="5118"/>
      <c r="F69" s="5118"/>
      <c r="G69" s="5118"/>
      <c r="H69" s="5118"/>
      <c r="I69" s="5118"/>
      <c r="J69" s="5118"/>
      <c r="K69" s="5118"/>
      <c r="L69" s="5118"/>
      <c r="M69" s="5118"/>
      <c r="N69" s="5118"/>
      <c r="O69" s="5119"/>
    </row>
    <row r="70" spans="1:15">
      <c r="A70" s="5101" t="s">
        <v>1016</v>
      </c>
      <c r="B70" s="5102"/>
      <c r="C70" s="5103"/>
      <c r="D70" s="5107" t="e">
        <f>Protokoll!D68</f>
        <v>#VALUE!</v>
      </c>
      <c r="E70" s="5108"/>
      <c r="F70" s="5108"/>
      <c r="G70" s="5108"/>
      <c r="H70" s="5108"/>
      <c r="I70" s="5108"/>
      <c r="J70" s="5108"/>
      <c r="K70" s="5108"/>
      <c r="L70" s="5108"/>
      <c r="M70" s="5108"/>
      <c r="N70" s="5108"/>
      <c r="O70" s="5109"/>
    </row>
    <row r="71" spans="1:15">
      <c r="A71" s="5104"/>
      <c r="B71" s="5105"/>
      <c r="C71" s="5106"/>
      <c r="D71" s="5110"/>
      <c r="E71" s="5111"/>
      <c r="F71" s="5111"/>
      <c r="G71" s="5111"/>
      <c r="H71" s="5111"/>
      <c r="I71" s="5111"/>
      <c r="J71" s="5111"/>
      <c r="K71" s="5111"/>
      <c r="L71" s="5111"/>
      <c r="M71" s="5111"/>
      <c r="N71" s="5111"/>
      <c r="O71" s="5112"/>
    </row>
    <row r="72" spans="1:15">
      <c r="A72" s="5089" t="s">
        <v>1773</v>
      </c>
      <c r="B72" s="5090"/>
      <c r="C72" s="5091"/>
      <c r="D72" s="5095" t="str">
        <f>IF('Copy &amp; Paste'!H12="","",Protokoll!E68)</f>
        <v/>
      </c>
      <c r="E72" s="5096"/>
      <c r="F72" s="5096"/>
      <c r="G72" s="5096"/>
      <c r="H72" s="5096"/>
      <c r="I72" s="5096"/>
      <c r="J72" s="5096"/>
      <c r="K72" s="5096"/>
      <c r="L72" s="5096"/>
      <c r="M72" s="5096"/>
      <c r="N72" s="5096"/>
      <c r="O72" s="5097"/>
    </row>
    <row r="73" spans="1:15" ht="13.5" thickBot="1">
      <c r="A73" s="5092"/>
      <c r="B73" s="5093"/>
      <c r="C73" s="5094"/>
      <c r="D73" s="5098"/>
      <c r="E73" s="5099"/>
      <c r="F73" s="5099"/>
      <c r="G73" s="5099"/>
      <c r="H73" s="5099"/>
      <c r="I73" s="5099"/>
      <c r="J73" s="5099"/>
      <c r="K73" s="5099"/>
      <c r="L73" s="5099"/>
      <c r="M73" s="5099"/>
      <c r="N73" s="5099"/>
      <c r="O73" s="5100"/>
    </row>
    <row r="74" spans="1:15">
      <c r="A74" s="577"/>
      <c r="B74" s="577"/>
      <c r="C74" s="577"/>
      <c r="D74" s="578"/>
      <c r="E74" s="578"/>
      <c r="F74" s="578"/>
      <c r="G74" s="578"/>
      <c r="H74" s="578"/>
      <c r="I74" s="578"/>
      <c r="J74" s="578"/>
      <c r="K74" s="578"/>
      <c r="L74" s="578"/>
      <c r="M74" s="578"/>
      <c r="N74" s="578"/>
      <c r="O74" s="578"/>
    </row>
    <row r="75" spans="1:15">
      <c r="A75" s="579"/>
      <c r="B75" s="574"/>
      <c r="C75" s="574"/>
      <c r="D75" s="575"/>
      <c r="E75" s="575"/>
      <c r="F75" s="575"/>
      <c r="G75" s="575"/>
      <c r="H75" s="575"/>
      <c r="I75" s="575"/>
      <c r="J75" s="575"/>
      <c r="K75" s="575"/>
      <c r="L75" s="575"/>
      <c r="M75" s="575"/>
      <c r="N75" s="575"/>
      <c r="O75" s="575"/>
    </row>
    <row r="76" spans="1:15">
      <c r="A76" s="580" t="s">
        <v>1774</v>
      </c>
      <c r="B76" s="581"/>
      <c r="C76" s="581"/>
      <c r="D76" s="581"/>
      <c r="E76" s="581"/>
      <c r="F76" s="581"/>
      <c r="G76" s="581"/>
      <c r="H76" s="581"/>
      <c r="I76" s="581"/>
      <c r="J76" s="581"/>
      <c r="K76" s="581"/>
      <c r="L76" s="581"/>
      <c r="M76" s="581"/>
      <c r="N76" s="581"/>
      <c r="O76" s="581"/>
    </row>
    <row r="77" spans="1:15">
      <c r="A77" s="580" t="s">
        <v>1775</v>
      </c>
      <c r="B77" s="581"/>
      <c r="C77" s="581"/>
      <c r="D77" s="581"/>
      <c r="E77" s="581"/>
      <c r="F77" s="581"/>
      <c r="G77" s="581"/>
      <c r="H77" s="581"/>
      <c r="I77" s="581"/>
      <c r="J77" s="581"/>
      <c r="K77" s="581"/>
      <c r="L77" s="581"/>
      <c r="M77" s="581"/>
      <c r="N77" s="581"/>
      <c r="O77" s="581"/>
    </row>
    <row r="78" spans="1:15">
      <c r="A78" s="581"/>
      <c r="B78" s="581"/>
      <c r="C78" s="581"/>
      <c r="D78" s="581"/>
      <c r="E78" s="581"/>
      <c r="F78" s="581"/>
      <c r="G78" s="581"/>
      <c r="H78" s="581"/>
      <c r="I78" s="581"/>
      <c r="J78" s="581"/>
      <c r="K78" s="581"/>
      <c r="L78" s="581"/>
      <c r="M78" s="581"/>
      <c r="N78" s="581"/>
      <c r="O78" s="581"/>
    </row>
    <row r="79" spans="1:15">
      <c r="A79" s="580" t="s">
        <v>1211</v>
      </c>
      <c r="B79" s="581"/>
      <c r="C79" s="581"/>
      <c r="D79" s="581"/>
      <c r="E79" s="581"/>
      <c r="F79" s="581"/>
      <c r="G79" s="581"/>
      <c r="H79" s="581"/>
      <c r="I79" s="581"/>
      <c r="J79" s="581"/>
      <c r="K79" s="581"/>
      <c r="L79" s="581"/>
      <c r="M79" s="581"/>
      <c r="N79" s="581"/>
      <c r="O79" s="581"/>
    </row>
    <row r="80" spans="1:15">
      <c r="A80" s="581"/>
      <c r="B80" s="581"/>
      <c r="C80" s="581"/>
      <c r="D80" s="581"/>
      <c r="E80" s="581"/>
      <c r="F80" s="581"/>
      <c r="G80" s="581"/>
      <c r="H80" s="581"/>
      <c r="I80" s="581"/>
      <c r="J80" s="581"/>
      <c r="K80" s="581"/>
      <c r="L80" s="581"/>
      <c r="M80" s="581"/>
      <c r="N80" s="581"/>
      <c r="O80" s="581"/>
    </row>
    <row r="81" spans="1:15">
      <c r="A81" s="581" t="s">
        <v>119</v>
      </c>
      <c r="B81" s="581"/>
      <c r="C81" s="581"/>
      <c r="D81" s="581"/>
      <c r="E81" s="581"/>
      <c r="F81" s="581"/>
      <c r="G81" s="581"/>
      <c r="H81" s="581"/>
      <c r="I81" s="581"/>
      <c r="J81" s="581"/>
      <c r="K81" s="581"/>
      <c r="L81" s="581"/>
      <c r="M81" s="581"/>
      <c r="N81" s="581"/>
      <c r="O81" s="581"/>
    </row>
    <row r="82" spans="1:15">
      <c r="A82" s="581"/>
      <c r="B82" s="581"/>
      <c r="C82" s="581"/>
      <c r="D82" s="581"/>
      <c r="E82" s="581"/>
      <c r="F82" s="581"/>
      <c r="G82" s="581"/>
      <c r="H82" s="581"/>
      <c r="I82" s="581"/>
      <c r="J82" s="581"/>
      <c r="K82" s="581"/>
      <c r="L82" s="581"/>
      <c r="M82" s="581"/>
      <c r="N82" s="581"/>
      <c r="O82" s="581"/>
    </row>
    <row r="83" spans="1:15">
      <c r="A83" s="581"/>
      <c r="B83" s="581"/>
      <c r="C83" s="581"/>
      <c r="D83" s="581"/>
      <c r="E83" s="581"/>
      <c r="F83" s="581"/>
      <c r="G83" s="581"/>
      <c r="H83" s="581"/>
      <c r="I83" s="581"/>
      <c r="J83" s="581"/>
      <c r="K83" s="581"/>
      <c r="L83" s="581"/>
      <c r="M83" s="581"/>
      <c r="N83" s="581"/>
      <c r="O83" s="581"/>
    </row>
    <row r="84" spans="1:15">
      <c r="A84" s="581"/>
      <c r="B84" s="581"/>
      <c r="C84" s="581"/>
      <c r="D84" s="581"/>
      <c r="E84" s="581"/>
      <c r="F84" s="581"/>
      <c r="G84" s="581"/>
      <c r="H84" s="581"/>
      <c r="I84" s="581"/>
      <c r="J84" s="581"/>
      <c r="K84" s="581"/>
      <c r="L84" s="581"/>
      <c r="M84" s="581"/>
      <c r="N84" s="581"/>
      <c r="O84" s="581"/>
    </row>
    <row r="85" spans="1:15">
      <c r="A85" s="581"/>
      <c r="B85" s="581"/>
      <c r="C85" s="581"/>
      <c r="D85" s="581"/>
      <c r="E85" s="581"/>
      <c r="F85" s="581"/>
      <c r="G85" s="581"/>
      <c r="H85" s="581"/>
      <c r="I85" s="581"/>
      <c r="J85" s="581"/>
      <c r="K85" s="581"/>
      <c r="L85" s="581"/>
      <c r="M85" s="581"/>
      <c r="N85" s="581"/>
      <c r="O85" s="581"/>
    </row>
    <row r="86" spans="1:15">
      <c r="A86" s="581" t="e">
        <f>VLOOKUP(U2,Kontakte,3,FALSE)&amp;" "&amp;VLOOKUP(U2,Kontakte,2,FALSE)</f>
        <v>#REF!</v>
      </c>
      <c r="B86" s="581"/>
      <c r="C86" s="581"/>
      <c r="D86" s="581"/>
      <c r="E86" s="581"/>
      <c r="F86" s="581"/>
      <c r="G86" s="581"/>
      <c r="H86" s="581"/>
      <c r="I86" s="581"/>
      <c r="J86" s="581"/>
      <c r="K86" s="581"/>
      <c r="L86" s="581"/>
      <c r="M86" s="581"/>
      <c r="N86" s="581"/>
      <c r="O86" s="582"/>
    </row>
    <row r="87" spans="1:15">
      <c r="A87" s="581"/>
      <c r="B87" s="581"/>
      <c r="C87" s="581"/>
      <c r="D87" s="581"/>
      <c r="E87" s="581"/>
      <c r="F87" s="581"/>
      <c r="G87" s="581"/>
      <c r="H87" s="581"/>
      <c r="I87" s="581"/>
      <c r="J87" s="581"/>
      <c r="K87" s="581"/>
      <c r="L87" s="581"/>
      <c r="M87" s="581"/>
      <c r="N87" s="581"/>
      <c r="O87" s="582"/>
    </row>
    <row r="88" spans="1:15">
      <c r="A88" s="580" t="s">
        <v>1205</v>
      </c>
      <c r="B88" s="581"/>
      <c r="C88" s="581"/>
      <c r="D88" s="581"/>
      <c r="E88" s="581"/>
      <c r="F88" s="581"/>
      <c r="G88" s="581"/>
      <c r="H88" s="581"/>
      <c r="I88" s="581"/>
      <c r="J88" s="581"/>
      <c r="K88" s="581"/>
      <c r="L88" s="581"/>
      <c r="M88" s="581"/>
      <c r="N88" s="581"/>
      <c r="O88" s="581"/>
    </row>
  </sheetData>
  <mergeCells count="15">
    <mergeCell ref="A58:O58"/>
    <mergeCell ref="A9:J9"/>
    <mergeCell ref="A10:J10"/>
    <mergeCell ref="A11:J11"/>
    <mergeCell ref="A14:I14"/>
    <mergeCell ref="C37:D37"/>
    <mergeCell ref="L37:O37"/>
    <mergeCell ref="A38:C38"/>
    <mergeCell ref="A57:O57"/>
    <mergeCell ref="A72:C73"/>
    <mergeCell ref="D72:O73"/>
    <mergeCell ref="A70:C71"/>
    <mergeCell ref="D70:O71"/>
    <mergeCell ref="A64:O64"/>
    <mergeCell ref="A68:O69"/>
  </mergeCells>
  <conditionalFormatting sqref="D70 D72">
    <cfRule type="containsErrors" dxfId="6" priority="6">
      <formula>ISERROR(D70)</formula>
    </cfRule>
  </conditionalFormatting>
  <conditionalFormatting sqref="J15">
    <cfRule type="cellIs" priority="5" operator="equal">
      <formula>""""""</formula>
    </cfRule>
  </conditionalFormatting>
  <conditionalFormatting sqref="J14:J16 J17:K17 J19:J21 F38 A86 A10:A11">
    <cfRule type="containsErrors" dxfId="5" priority="4">
      <formula>ISERROR(A10)</formula>
    </cfRule>
  </conditionalFormatting>
  <conditionalFormatting sqref="A15">
    <cfRule type="cellIs" dxfId="4" priority="3" operator="equal">
      <formula>0</formula>
    </cfRule>
  </conditionalFormatting>
  <conditionalFormatting sqref="D70:O71">
    <cfRule type="cellIs" dxfId="3" priority="1" operator="equal">
      <formula>0</formula>
    </cfRule>
  </conditionalFormatting>
  <printOptions horizontalCentered="1"/>
  <pageMargins left="0.78740157480314965" right="0.78740157480314965" top="0.51181102362204722" bottom="0.27559055118110237" header="0.35433070866141736" footer="0.23622047244094491"/>
  <pageSetup paperSize="9" scale="97" orientation="portrait" r:id="rId1"/>
  <headerFooter alignWithMargins="0"/>
  <rowBreaks count="1" manualBreakCount="1">
    <brk id="56" max="14" man="1"/>
  </rowBreaks>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5">
    <tabColor theme="0" tint="-0.249977111117893"/>
  </sheetPr>
  <dimension ref="A1:R13"/>
  <sheetViews>
    <sheetView showGridLines="0" showZeros="0" workbookViewId="0">
      <selection activeCell="R2" sqref="A2:R2"/>
    </sheetView>
  </sheetViews>
  <sheetFormatPr baseColWidth="10" defaultColWidth="13.140625" defaultRowHeight="14.25"/>
  <cols>
    <col min="1" max="1" width="41.85546875" style="2778" customWidth="1"/>
    <col min="2" max="2" width="29" style="2778" customWidth="1"/>
    <col min="3" max="3" width="26.7109375" style="2778" customWidth="1"/>
    <col min="4" max="4" width="44.7109375" style="2778" customWidth="1"/>
    <col min="5" max="6" width="13.140625" style="2778"/>
    <col min="7" max="7" width="18.42578125" style="2778" customWidth="1"/>
    <col min="8" max="9" width="13.140625" style="2778"/>
    <col min="10" max="11" width="21.140625" style="2778" customWidth="1"/>
    <col min="12" max="12" width="20.85546875" style="2778" customWidth="1"/>
    <col min="13" max="13" width="24.7109375" style="2778" customWidth="1"/>
    <col min="14" max="14" width="20.85546875" style="2778" customWidth="1"/>
    <col min="15" max="15" width="28" style="2778" customWidth="1"/>
    <col min="16" max="16" width="15.85546875" style="2778" customWidth="1"/>
    <col min="17" max="17" width="24.7109375" style="2776" customWidth="1"/>
    <col min="18" max="18" width="20.42578125" style="2776" customWidth="1"/>
    <col min="19" max="16384" width="13.140625" style="2778"/>
  </cols>
  <sheetData>
    <row r="1" spans="1:18" s="2775" customFormat="1" ht="52.5" customHeight="1">
      <c r="A1" s="2771" t="s">
        <v>1611</v>
      </c>
      <c r="B1" s="2771" t="s">
        <v>1612</v>
      </c>
      <c r="C1" s="2772" t="s">
        <v>1613</v>
      </c>
      <c r="D1" s="2772" t="s">
        <v>1059</v>
      </c>
      <c r="E1" s="2771" t="s">
        <v>1060</v>
      </c>
      <c r="F1" s="2773" t="s">
        <v>1614</v>
      </c>
      <c r="G1" s="2771" t="s">
        <v>1058</v>
      </c>
      <c r="H1" s="2771" t="s">
        <v>1070</v>
      </c>
      <c r="I1" s="2771" t="s">
        <v>1615</v>
      </c>
      <c r="J1" s="2774" t="s">
        <v>1616</v>
      </c>
      <c r="K1" s="2774" t="s">
        <v>1617</v>
      </c>
      <c r="L1" s="2774" t="s">
        <v>1618</v>
      </c>
      <c r="M1" s="2774" t="s">
        <v>1619</v>
      </c>
      <c r="N1" s="2774" t="s">
        <v>1620</v>
      </c>
      <c r="O1" s="2774" t="s">
        <v>1621</v>
      </c>
      <c r="P1" s="2771" t="s">
        <v>1622</v>
      </c>
      <c r="Q1" s="2773" t="s">
        <v>1623</v>
      </c>
      <c r="R1" s="2773" t="s">
        <v>1624</v>
      </c>
    </row>
    <row r="2" spans="1:18">
      <c r="A2" s="2792">
        <f>'Copy &amp; Paste'!B5</f>
        <v>0</v>
      </c>
      <c r="B2" s="2792">
        <f>'Copy &amp; Paste'!B7</f>
        <v>0</v>
      </c>
      <c r="C2" s="2793">
        <f>'Copy &amp; Paste'!B8</f>
        <v>0</v>
      </c>
      <c r="D2" s="2792">
        <f>'Copy &amp; Paste'!C8</f>
        <v>0</v>
      </c>
      <c r="E2" s="2792" t="e">
        <f>Ergebnis!C1</f>
        <v>#N/A</v>
      </c>
      <c r="F2" s="2794">
        <v>8</v>
      </c>
      <c r="G2" s="2793">
        <f>IK</f>
        <v>0</v>
      </c>
      <c r="H2" s="2798">
        <v>1</v>
      </c>
      <c r="I2" s="2798">
        <v>1</v>
      </c>
      <c r="J2" s="2795" t="e">
        <f>'84 9 Nachweis'!S40</f>
        <v>#VALUE!</v>
      </c>
      <c r="K2" s="2795">
        <f>'84 9 Nachweis'!S41</f>
        <v>0</v>
      </c>
      <c r="L2" s="2792">
        <f>'84 9 Nachweis'!S42</f>
        <v>0</v>
      </c>
      <c r="M2" s="2792">
        <f>'84 9 Nachweis'!S43</f>
        <v>0</v>
      </c>
      <c r="N2" s="2792">
        <f>'84 9 Nachweis'!S44</f>
        <v>0</v>
      </c>
      <c r="O2" s="2792">
        <f>'84 9 Nachweis'!S45</f>
        <v>0</v>
      </c>
      <c r="P2" s="2808"/>
      <c r="Q2" s="2796">
        <f>'84 9 Nachweis'!R8</f>
        <v>45717</v>
      </c>
      <c r="R2" s="2797" t="s">
        <v>1625</v>
      </c>
    </row>
    <row r="3" spans="1:18">
      <c r="F3" s="2788"/>
      <c r="G3" s="2789"/>
      <c r="J3" s="2790"/>
      <c r="K3" s="2790"/>
      <c r="Q3" s="2791"/>
    </row>
    <row r="4" spans="1:18">
      <c r="F4" s="2788"/>
      <c r="G4" s="2789"/>
      <c r="J4" s="2790"/>
      <c r="K4" s="2790"/>
      <c r="Q4" s="2791"/>
    </row>
    <row r="5" spans="1:18" ht="15">
      <c r="A5" s="2777" t="s">
        <v>1626</v>
      </c>
      <c r="D5" s="2779"/>
      <c r="Q5" s="2780"/>
    </row>
    <row r="6" spans="1:18" ht="15">
      <c r="A6" s="2781" t="s">
        <v>1627</v>
      </c>
      <c r="D6" s="2782"/>
      <c r="K6" s="2783"/>
      <c r="L6" s="2783"/>
      <c r="M6" s="2783"/>
      <c r="N6" s="2783"/>
      <c r="O6" s="2783"/>
      <c r="Q6" s="2784"/>
    </row>
    <row r="7" spans="1:18" ht="15">
      <c r="A7" s="2781" t="s">
        <v>1628</v>
      </c>
      <c r="D7" s="2782"/>
      <c r="K7" s="2783"/>
      <c r="L7" s="2783"/>
      <c r="M7" s="2783"/>
      <c r="N7" s="2783"/>
      <c r="O7" s="2783"/>
      <c r="Q7" s="2784"/>
    </row>
    <row r="8" spans="1:18" ht="15">
      <c r="A8" s="2785"/>
      <c r="B8" s="2786"/>
      <c r="C8" s="2786"/>
      <c r="K8" s="2782"/>
      <c r="L8" s="2782"/>
      <c r="M8" s="2782"/>
      <c r="N8" s="2782"/>
      <c r="O8" s="2782"/>
    </row>
    <row r="13" spans="1:18">
      <c r="D13" s="2787"/>
    </row>
  </sheetData>
  <pageMargins left="0.7" right="0.7" top="0.78740157499999996" bottom="0.78740157499999996" header="0.3" footer="0.3"/>
  <pageSetup paperSize="9"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Z54"/>
  <sheetViews>
    <sheetView zoomScale="105" zoomScaleNormal="105" workbookViewId="0">
      <selection activeCell="C11" sqref="C11:E11"/>
    </sheetView>
  </sheetViews>
  <sheetFormatPr baseColWidth="10" defaultRowHeight="12.75"/>
  <cols>
    <col min="4" max="4" width="12.140625" bestFit="1" customWidth="1"/>
  </cols>
  <sheetData>
    <row r="1" spans="1:26">
      <c r="A1" s="1"/>
      <c r="B1" s="2"/>
      <c r="C1" s="2"/>
      <c r="D1" s="2"/>
      <c r="E1" s="2"/>
      <c r="F1" s="2"/>
      <c r="G1" s="10"/>
      <c r="H1" s="354" t="s">
        <v>1188</v>
      </c>
      <c r="I1" s="22"/>
      <c r="J1" s="22"/>
      <c r="K1" s="355" t="e">
        <f>Pauschal!H31/(Pauschal!H31+Pauschal!H32)</f>
        <v>#DIV/0!</v>
      </c>
      <c r="L1" s="22"/>
      <c r="M1" s="22"/>
      <c r="N1" s="22"/>
      <c r="O1" s="22"/>
      <c r="P1" s="22"/>
      <c r="Q1" s="22"/>
      <c r="R1" s="22"/>
      <c r="S1" s="22"/>
      <c r="T1" s="22"/>
      <c r="U1" s="22"/>
      <c r="V1" s="22"/>
      <c r="W1" s="22"/>
      <c r="X1" s="22"/>
      <c r="Y1" s="22"/>
      <c r="Z1" s="22"/>
    </row>
    <row r="2" spans="1:26">
      <c r="A2" s="5128" t="str">
        <f>CONCATENATE('Seite 1'!C5,", ",'Seite 1'!C7,", ",'Seite 1'!C8," ",'Seite 1'!D8)</f>
        <v xml:space="preserve">, ,  </v>
      </c>
      <c r="B2" s="5129"/>
      <c r="C2" s="5129"/>
      <c r="D2" s="5129"/>
      <c r="E2" s="5129"/>
      <c r="F2" s="5129"/>
      <c r="G2" s="5130"/>
      <c r="H2" s="354" t="s">
        <v>1189</v>
      </c>
      <c r="I2" s="22"/>
      <c r="J2" s="22"/>
      <c r="K2" s="356" t="e">
        <f>((Pauschal!B19*0.78)+(Pauschal!B20*1)+(Pauschal!B21*1.64)+(Pauschal!B22*2.31)+(Pauschal!B23*2.6))/Pauschal!B24*100</f>
        <v>#DIV/0!</v>
      </c>
      <c r="L2" s="22"/>
      <c r="M2" s="22"/>
      <c r="N2" s="22"/>
      <c r="O2" s="22"/>
      <c r="P2" s="22"/>
      <c r="Q2" s="22"/>
      <c r="R2" s="22"/>
      <c r="S2" s="22"/>
      <c r="T2" s="22"/>
      <c r="U2" s="22"/>
      <c r="V2" s="22"/>
      <c r="W2" s="22"/>
      <c r="X2" s="22"/>
      <c r="Y2" s="22"/>
      <c r="Z2" s="22"/>
    </row>
    <row r="3" spans="1:26">
      <c r="A3" s="3"/>
      <c r="B3" s="4"/>
      <c r="C3" s="4"/>
      <c r="D3" s="4"/>
      <c r="E3" s="4"/>
      <c r="F3" s="4"/>
      <c r="G3" s="5"/>
      <c r="H3" s="22"/>
      <c r="I3" s="22"/>
      <c r="J3" s="22"/>
      <c r="K3" s="22"/>
      <c r="L3" s="22"/>
      <c r="M3" s="22"/>
      <c r="N3" s="22"/>
      <c r="O3" s="22"/>
      <c r="P3" s="22"/>
      <c r="Q3" s="22"/>
      <c r="R3" s="22"/>
      <c r="S3" s="22"/>
      <c r="T3" s="22"/>
      <c r="U3" s="22"/>
      <c r="V3" s="22"/>
      <c r="W3" s="22"/>
      <c r="X3" s="22"/>
      <c r="Y3" s="22"/>
      <c r="Z3" s="22"/>
    </row>
    <row r="4" spans="1:26" ht="13.5" thickBot="1">
      <c r="A4" s="3"/>
      <c r="B4" s="4"/>
      <c r="C4" s="4"/>
      <c r="D4" s="4"/>
      <c r="E4" s="4"/>
      <c r="F4" s="4"/>
      <c r="G4" s="5"/>
      <c r="H4" s="22"/>
      <c r="I4" s="22"/>
      <c r="J4" s="22"/>
      <c r="K4" s="22"/>
      <c r="L4" s="22"/>
      <c r="M4" s="22"/>
      <c r="N4" s="22"/>
      <c r="O4" s="22"/>
      <c r="P4" s="22"/>
      <c r="Q4" s="22"/>
      <c r="R4" s="22"/>
      <c r="S4" s="22"/>
      <c r="T4" s="22"/>
      <c r="U4" s="22"/>
      <c r="V4" s="22"/>
      <c r="W4" s="22"/>
      <c r="X4" s="22"/>
      <c r="Y4" s="22"/>
      <c r="Z4" s="22"/>
    </row>
    <row r="5" spans="1:26" ht="12.75" customHeight="1">
      <c r="A5" s="5134" t="s">
        <v>322</v>
      </c>
      <c r="B5" s="5135"/>
      <c r="C5" s="5135"/>
      <c r="D5" s="5135"/>
      <c r="E5" s="5135"/>
      <c r="F5" s="5135"/>
      <c r="G5" s="5136"/>
      <c r="H5" s="22"/>
      <c r="I5" s="22"/>
      <c r="J5" s="22"/>
      <c r="K5" s="22"/>
      <c r="L5" s="22"/>
      <c r="M5" s="22"/>
      <c r="N5" s="22"/>
      <c r="O5" s="22"/>
      <c r="P5" s="22"/>
      <c r="Q5" s="22"/>
      <c r="R5" s="22"/>
      <c r="S5" s="22"/>
      <c r="T5" s="22"/>
      <c r="U5" s="22"/>
      <c r="V5" s="22"/>
      <c r="W5" s="22"/>
      <c r="X5" s="22"/>
      <c r="Y5" s="22"/>
      <c r="Z5" s="22"/>
    </row>
    <row r="6" spans="1:26" ht="12.75" customHeight="1">
      <c r="A6" s="5137"/>
      <c r="B6" s="5138"/>
      <c r="C6" s="5138"/>
      <c r="D6" s="5138"/>
      <c r="E6" s="5138"/>
      <c r="F6" s="5138"/>
      <c r="G6" s="5139"/>
      <c r="H6" s="22"/>
      <c r="I6" s="22"/>
      <c r="J6" s="22"/>
      <c r="K6" s="22"/>
      <c r="L6" s="22"/>
      <c r="M6" s="22"/>
      <c r="N6" s="22"/>
      <c r="O6" s="22"/>
      <c r="P6" s="22"/>
      <c r="Q6" s="22"/>
      <c r="R6" s="22"/>
      <c r="S6" s="22"/>
      <c r="T6" s="22"/>
      <c r="U6" s="22"/>
      <c r="V6" s="22"/>
      <c r="W6" s="22"/>
      <c r="X6" s="22"/>
      <c r="Y6" s="22"/>
      <c r="Z6" s="22"/>
    </row>
    <row r="7" spans="1:26" ht="12.75" customHeight="1">
      <c r="A7" s="612"/>
      <c r="B7" s="5140" t="str">
        <f>Ergebnis!D4</f>
        <v>Erklärung der Bewohnervertretung fehlt noch !!!</v>
      </c>
      <c r="C7" s="5140"/>
      <c r="D7" s="5140"/>
      <c r="E7" s="5140"/>
      <c r="F7" s="5140"/>
      <c r="G7" s="613"/>
      <c r="H7" s="22"/>
      <c r="I7" s="22"/>
      <c r="J7" s="22"/>
      <c r="K7" s="22"/>
      <c r="L7" s="22"/>
      <c r="M7" s="22"/>
      <c r="N7" s="22"/>
      <c r="O7" s="22"/>
      <c r="P7" s="22"/>
      <c r="Q7" s="22"/>
      <c r="R7" s="22"/>
      <c r="S7" s="22"/>
      <c r="T7" s="22"/>
      <c r="U7" s="22"/>
      <c r="V7" s="22"/>
      <c r="W7" s="22"/>
      <c r="X7" s="22"/>
      <c r="Y7" s="22"/>
      <c r="Z7" s="22"/>
    </row>
    <row r="8" spans="1:26" ht="12.75" customHeight="1">
      <c r="A8" s="617"/>
      <c r="B8" s="618" t="s">
        <v>795</v>
      </c>
      <c r="C8" s="618" t="s">
        <v>1030</v>
      </c>
      <c r="D8" s="620">
        <f>Protokoll!B11</f>
        <v>45717</v>
      </c>
      <c r="E8" s="618" t="s">
        <v>21</v>
      </c>
      <c r="F8" s="620">
        <f>Protokoll!D11</f>
        <v>46081</v>
      </c>
      <c r="G8" s="619"/>
      <c r="H8" s="22"/>
      <c r="I8" s="22"/>
      <c r="J8" s="22"/>
      <c r="K8" s="22"/>
      <c r="L8" s="22"/>
      <c r="M8" s="22"/>
      <c r="N8" s="22"/>
      <c r="O8" s="22"/>
      <c r="P8" s="22"/>
      <c r="Q8" s="22"/>
      <c r="R8" s="22"/>
      <c r="S8" s="22"/>
      <c r="T8" s="22"/>
      <c r="U8" s="22"/>
      <c r="V8" s="22"/>
      <c r="W8" s="22"/>
      <c r="X8" s="22"/>
      <c r="Y8" s="22"/>
      <c r="Z8" s="22"/>
    </row>
    <row r="9" spans="1:26" ht="13.5" customHeight="1" thickBot="1">
      <c r="A9" s="614"/>
      <c r="B9" s="615"/>
      <c r="C9" s="615"/>
      <c r="D9" s="615"/>
      <c r="E9" s="615"/>
      <c r="F9" s="615"/>
      <c r="G9" s="616"/>
      <c r="H9" s="22"/>
      <c r="I9" s="22"/>
      <c r="J9" s="22"/>
      <c r="K9" s="22"/>
      <c r="L9" s="22"/>
      <c r="M9" s="22"/>
      <c r="N9" s="22"/>
      <c r="O9" s="22"/>
      <c r="P9" s="22"/>
      <c r="Q9" s="22"/>
      <c r="R9" s="22"/>
      <c r="S9" s="22"/>
      <c r="T9" s="22"/>
      <c r="U9" s="22"/>
      <c r="V9" s="22"/>
      <c r="W9" s="22"/>
      <c r="X9" s="22"/>
      <c r="Y9" s="22"/>
      <c r="Z9" s="22"/>
    </row>
    <row r="10" spans="1:26" ht="13.5" thickBot="1">
      <c r="A10" s="534">
        <f ca="1">TODAY()</f>
        <v>45750</v>
      </c>
      <c r="B10" s="4"/>
      <c r="C10" s="4"/>
      <c r="D10" s="4"/>
      <c r="E10" s="4"/>
      <c r="F10" s="4"/>
      <c r="G10" s="5"/>
      <c r="H10" s="22"/>
      <c r="I10" s="22"/>
      <c r="J10" s="22"/>
      <c r="K10" s="22"/>
      <c r="L10" s="22"/>
      <c r="M10" s="22"/>
      <c r="N10" s="22"/>
      <c r="O10" s="22"/>
      <c r="P10" s="22"/>
      <c r="Q10" s="22"/>
      <c r="R10" s="22"/>
      <c r="S10" s="22"/>
      <c r="T10" s="22"/>
      <c r="U10" s="22"/>
      <c r="V10" s="22"/>
      <c r="W10" s="22"/>
      <c r="X10" s="22"/>
      <c r="Y10" s="22"/>
      <c r="Z10" s="22"/>
    </row>
    <row r="11" spans="1:26" ht="13.5" thickBot="1">
      <c r="A11" s="3"/>
      <c r="B11" s="4"/>
      <c r="C11" s="5131">
        <f>IK</f>
        <v>0</v>
      </c>
      <c r="D11" s="5132"/>
      <c r="E11" s="5133"/>
      <c r="F11" s="4"/>
      <c r="G11" s="11" t="s">
        <v>323</v>
      </c>
      <c r="H11" s="22"/>
      <c r="I11" s="22"/>
      <c r="J11" s="22"/>
      <c r="K11" s="22"/>
      <c r="L11" s="22"/>
      <c r="M11" s="22"/>
      <c r="N11" s="22"/>
      <c r="O11" s="22"/>
      <c r="P11" s="22"/>
      <c r="Q11" s="22"/>
      <c r="R11" s="22"/>
      <c r="S11" s="22"/>
      <c r="T11" s="22"/>
      <c r="U11" s="22"/>
      <c r="V11" s="22"/>
      <c r="W11" s="22"/>
      <c r="X11" s="22"/>
      <c r="Y11" s="22"/>
      <c r="Z11" s="22"/>
    </row>
    <row r="12" spans="1:26">
      <c r="A12" s="3"/>
      <c r="B12" s="4"/>
      <c r="C12" s="4"/>
      <c r="D12" s="4"/>
      <c r="E12" s="4"/>
      <c r="F12" s="4"/>
      <c r="G12" s="5"/>
      <c r="H12" s="22"/>
      <c r="I12" s="22"/>
      <c r="J12" s="22"/>
      <c r="K12" s="22"/>
      <c r="L12" s="22"/>
      <c r="M12" s="22"/>
      <c r="N12" s="22"/>
      <c r="O12" s="22"/>
      <c r="P12" s="22"/>
      <c r="Q12" s="22"/>
      <c r="R12" s="22"/>
      <c r="S12" s="22"/>
      <c r="T12" s="22"/>
      <c r="U12" s="22"/>
      <c r="V12" s="22"/>
      <c r="W12" s="22"/>
      <c r="X12" s="22"/>
      <c r="Y12" s="22"/>
      <c r="Z12" s="22"/>
    </row>
    <row r="13" spans="1:26">
      <c r="A13" s="592" t="s">
        <v>324</v>
      </c>
      <c r="B13" s="12" t="s">
        <v>837</v>
      </c>
      <c r="C13" s="4"/>
      <c r="D13" s="4"/>
      <c r="E13" s="4"/>
      <c r="F13" s="4"/>
      <c r="G13" s="5"/>
      <c r="H13" s="22"/>
      <c r="I13" s="22"/>
      <c r="J13" s="22"/>
      <c r="K13" s="22"/>
      <c r="L13" s="22"/>
      <c r="M13" s="22"/>
      <c r="N13" s="22"/>
      <c r="O13" s="22"/>
      <c r="P13" s="22"/>
      <c r="Q13" s="22"/>
      <c r="R13" s="22"/>
      <c r="S13" s="22"/>
      <c r="T13" s="22"/>
      <c r="U13" s="22"/>
      <c r="V13" s="22"/>
      <c r="W13" s="22"/>
      <c r="X13" s="22"/>
      <c r="Y13" s="22"/>
      <c r="Z13" s="22"/>
    </row>
    <row r="14" spans="1:26">
      <c r="A14" s="592"/>
      <c r="B14" s="4"/>
      <c r="C14" s="4"/>
      <c r="D14" s="4"/>
      <c r="E14" s="4"/>
      <c r="F14" s="4"/>
      <c r="G14" s="5"/>
      <c r="H14" s="22"/>
      <c r="I14" s="22"/>
      <c r="J14" s="22"/>
      <c r="K14" s="22"/>
      <c r="L14" s="22"/>
      <c r="M14" s="22"/>
      <c r="N14" s="22"/>
      <c r="O14" s="22"/>
      <c r="P14" s="22"/>
      <c r="Q14" s="22"/>
      <c r="R14" s="22"/>
      <c r="S14" s="22"/>
      <c r="T14" s="22"/>
      <c r="U14" s="22"/>
      <c r="V14" s="22"/>
      <c r="W14" s="22"/>
      <c r="X14" s="22"/>
      <c r="Y14" s="22"/>
      <c r="Z14" s="22"/>
    </row>
    <row r="15" spans="1:26">
      <c r="A15" s="592" t="s">
        <v>325</v>
      </c>
      <c r="B15" s="21" t="s">
        <v>835</v>
      </c>
      <c r="C15" s="4"/>
      <c r="D15" s="4"/>
      <c r="E15" s="4"/>
      <c r="F15" s="4"/>
      <c r="G15" s="5"/>
      <c r="H15" s="22"/>
      <c r="I15" s="22"/>
      <c r="J15" s="22"/>
      <c r="K15" s="22"/>
      <c r="L15" s="22"/>
      <c r="M15" s="22"/>
      <c r="N15" s="22"/>
      <c r="O15" s="22"/>
      <c r="P15" s="22"/>
      <c r="Q15" s="22"/>
      <c r="R15" s="22"/>
      <c r="S15" s="22"/>
      <c r="T15" s="22"/>
      <c r="U15" s="22"/>
      <c r="V15" s="22"/>
      <c r="W15" s="22"/>
      <c r="X15" s="22"/>
      <c r="Y15" s="22"/>
      <c r="Z15" s="22"/>
    </row>
    <row r="16" spans="1:26">
      <c r="A16" s="592"/>
      <c r="B16" s="4"/>
      <c r="C16" s="4"/>
      <c r="D16" s="4"/>
      <c r="E16" s="4"/>
      <c r="F16" s="4"/>
      <c r="G16" s="5"/>
      <c r="H16" s="22"/>
      <c r="I16" s="22"/>
      <c r="J16" s="22"/>
      <c r="K16" s="22"/>
      <c r="L16" s="22"/>
      <c r="M16" s="22"/>
      <c r="N16" s="22"/>
      <c r="O16" s="22"/>
      <c r="P16" s="22"/>
      <c r="Q16" s="22"/>
      <c r="R16" s="22"/>
      <c r="S16" s="22"/>
      <c r="T16" s="22"/>
      <c r="U16" s="22"/>
      <c r="V16" s="22"/>
      <c r="W16" s="22"/>
      <c r="X16" s="22"/>
      <c r="Y16" s="22"/>
      <c r="Z16" s="22"/>
    </row>
    <row r="17" spans="1:26">
      <c r="A17" s="592" t="s">
        <v>326</v>
      </c>
      <c r="B17" s="21" t="s">
        <v>327</v>
      </c>
      <c r="C17" s="4"/>
      <c r="D17" s="4"/>
      <c r="E17" s="4"/>
      <c r="F17" s="4"/>
      <c r="G17" s="5"/>
      <c r="H17" s="22"/>
      <c r="I17" s="22"/>
      <c r="J17" s="22"/>
      <c r="K17" s="22"/>
      <c r="L17" s="22"/>
      <c r="M17" s="22"/>
      <c r="N17" s="22"/>
      <c r="O17" s="22"/>
      <c r="P17" s="22"/>
      <c r="Q17" s="22"/>
      <c r="R17" s="22"/>
      <c r="S17" s="22"/>
      <c r="T17" s="22"/>
      <c r="U17" s="22"/>
      <c r="V17" s="22"/>
      <c r="W17" s="22"/>
      <c r="X17" s="22"/>
      <c r="Y17" s="22"/>
      <c r="Z17" s="22"/>
    </row>
    <row r="18" spans="1:26">
      <c r="A18" s="592"/>
      <c r="B18" s="4"/>
      <c r="C18" s="4"/>
      <c r="D18" s="4"/>
      <c r="E18" s="4"/>
      <c r="F18" s="4"/>
      <c r="G18" s="5"/>
      <c r="H18" s="22"/>
      <c r="I18" s="22"/>
      <c r="J18" s="22"/>
      <c r="K18" s="22"/>
      <c r="L18" s="22"/>
      <c r="M18" s="22"/>
      <c r="N18" s="22"/>
      <c r="O18" s="22"/>
      <c r="P18" s="22"/>
      <c r="Q18" s="22"/>
      <c r="R18" s="22"/>
      <c r="S18" s="22"/>
      <c r="T18" s="22"/>
      <c r="U18" s="22"/>
      <c r="V18" s="22"/>
      <c r="W18" s="22"/>
      <c r="X18" s="22"/>
      <c r="Y18" s="22"/>
      <c r="Z18" s="22"/>
    </row>
    <row r="19" spans="1:26">
      <c r="A19" s="592" t="s">
        <v>328</v>
      </c>
      <c r="B19" s="12" t="s">
        <v>338</v>
      </c>
      <c r="C19" s="4"/>
      <c r="D19" s="4"/>
      <c r="E19" s="4"/>
      <c r="F19" s="4"/>
      <c r="G19" s="5"/>
      <c r="H19" s="22"/>
      <c r="I19" s="22"/>
      <c r="J19" s="22"/>
      <c r="K19" s="22"/>
      <c r="L19" s="22"/>
      <c r="M19" s="22"/>
      <c r="N19" s="22"/>
      <c r="O19" s="22"/>
      <c r="P19" s="22"/>
      <c r="Q19" s="22"/>
      <c r="R19" s="22"/>
      <c r="S19" s="22"/>
      <c r="T19" s="22"/>
      <c r="U19" s="22"/>
      <c r="V19" s="22"/>
      <c r="W19" s="22"/>
      <c r="X19" s="22"/>
      <c r="Y19" s="22"/>
      <c r="Z19" s="22"/>
    </row>
    <row r="20" spans="1:26">
      <c r="A20" s="3"/>
      <c r="B20" s="4"/>
      <c r="C20" s="4"/>
      <c r="D20" s="4"/>
      <c r="E20" s="4"/>
      <c r="F20" s="4"/>
      <c r="G20" s="5"/>
      <c r="H20" s="22"/>
      <c r="I20" s="22"/>
      <c r="J20" s="22"/>
      <c r="K20" s="22"/>
      <c r="L20" s="22"/>
      <c r="M20" s="22"/>
      <c r="N20" s="22"/>
      <c r="O20" s="22"/>
      <c r="P20" s="22"/>
      <c r="Q20" s="22"/>
      <c r="R20" s="22"/>
      <c r="S20" s="22"/>
      <c r="T20" s="22"/>
      <c r="U20" s="22"/>
      <c r="V20" s="22"/>
      <c r="W20" s="22"/>
      <c r="X20" s="22"/>
      <c r="Y20" s="22"/>
      <c r="Z20" s="22"/>
    </row>
    <row r="21" spans="1:26">
      <c r="A21" s="592" t="s">
        <v>329</v>
      </c>
      <c r="B21" s="21" t="s">
        <v>836</v>
      </c>
      <c r="C21" s="4"/>
      <c r="D21" s="4"/>
      <c r="E21" s="4"/>
      <c r="F21" s="4"/>
      <c r="G21" s="5"/>
      <c r="H21" s="22"/>
      <c r="I21" s="22"/>
      <c r="J21" s="22"/>
      <c r="K21" s="22"/>
      <c r="L21" s="22"/>
      <c r="M21" s="22"/>
      <c r="N21" s="22"/>
      <c r="O21" s="22"/>
      <c r="P21" s="22"/>
      <c r="Q21" s="22"/>
      <c r="R21" s="22"/>
      <c r="S21" s="22"/>
      <c r="T21" s="22"/>
      <c r="U21" s="22"/>
      <c r="V21" s="22"/>
      <c r="W21" s="22"/>
      <c r="X21" s="22"/>
      <c r="Y21" s="22"/>
      <c r="Z21" s="22"/>
    </row>
    <row r="22" spans="1:26">
      <c r="A22" s="592"/>
      <c r="B22" s="4"/>
      <c r="C22" s="4"/>
      <c r="D22" s="4"/>
      <c r="E22" s="4"/>
      <c r="F22" s="4"/>
      <c r="G22" s="5"/>
      <c r="H22" s="22"/>
      <c r="I22" s="22"/>
      <c r="J22" s="22"/>
      <c r="K22" s="22"/>
      <c r="L22" s="22"/>
      <c r="M22" s="22"/>
      <c r="N22" s="22"/>
      <c r="O22" s="22"/>
      <c r="P22" s="22"/>
      <c r="Q22" s="22"/>
      <c r="R22" s="22"/>
      <c r="S22" s="22"/>
      <c r="T22" s="22"/>
      <c r="U22" s="22"/>
      <c r="V22" s="22"/>
      <c r="W22" s="22"/>
      <c r="X22" s="22"/>
      <c r="Y22" s="22"/>
      <c r="Z22" s="22"/>
    </row>
    <row r="23" spans="1:26">
      <c r="A23" s="592" t="s">
        <v>330</v>
      </c>
      <c r="B23" s="21" t="s">
        <v>331</v>
      </c>
      <c r="C23" s="4"/>
      <c r="D23" s="4"/>
      <c r="E23" s="4"/>
      <c r="F23" s="4"/>
      <c r="G23" s="5"/>
      <c r="H23" s="22"/>
      <c r="I23" s="22"/>
      <c r="J23" s="22"/>
      <c r="K23" s="22"/>
      <c r="L23" s="22"/>
      <c r="M23" s="22"/>
      <c r="N23" s="22"/>
      <c r="O23" s="22"/>
      <c r="P23" s="22"/>
      <c r="Q23" s="22"/>
      <c r="R23" s="22"/>
      <c r="S23" s="22"/>
      <c r="T23" s="22"/>
      <c r="U23" s="22"/>
      <c r="V23" s="22"/>
      <c r="W23" s="22"/>
      <c r="X23" s="22"/>
      <c r="Y23" s="22"/>
      <c r="Z23" s="22"/>
    </row>
    <row r="24" spans="1:26">
      <c r="A24" s="592"/>
      <c r="B24" s="4"/>
      <c r="C24" s="4"/>
      <c r="D24" s="4"/>
      <c r="E24" s="4"/>
      <c r="F24" s="4"/>
      <c r="G24" s="5"/>
      <c r="H24" s="22"/>
      <c r="I24" s="22"/>
      <c r="J24" s="22"/>
      <c r="K24" s="22"/>
      <c r="L24" s="22"/>
      <c r="M24" s="22"/>
      <c r="N24" s="22"/>
      <c r="O24" s="22"/>
      <c r="P24" s="22"/>
      <c r="Q24" s="22"/>
      <c r="R24" s="22"/>
      <c r="S24" s="22"/>
      <c r="T24" s="22"/>
      <c r="U24" s="22"/>
      <c r="V24" s="22"/>
      <c r="W24" s="22"/>
      <c r="X24" s="22"/>
      <c r="Y24" s="22"/>
      <c r="Z24" s="22"/>
    </row>
    <row r="25" spans="1:26">
      <c r="A25" s="592" t="s">
        <v>332</v>
      </c>
      <c r="B25" s="21" t="s">
        <v>333</v>
      </c>
      <c r="C25" s="4"/>
      <c r="D25" s="4"/>
      <c r="E25" s="4"/>
      <c r="F25" s="4"/>
      <c r="G25" s="5"/>
      <c r="H25" s="22"/>
      <c r="I25" s="22"/>
      <c r="J25" s="22"/>
      <c r="K25" s="22"/>
      <c r="L25" s="22"/>
      <c r="M25" s="22"/>
      <c r="N25" s="22"/>
      <c r="O25" s="22"/>
      <c r="P25" s="22"/>
      <c r="Q25" s="22"/>
      <c r="R25" s="22"/>
      <c r="S25" s="22"/>
      <c r="T25" s="22"/>
      <c r="U25" s="22"/>
      <c r="V25" s="22"/>
      <c r="W25" s="22"/>
      <c r="X25" s="22"/>
      <c r="Y25" s="22"/>
      <c r="Z25" s="22"/>
    </row>
    <row r="26" spans="1:26">
      <c r="A26" s="592"/>
      <c r="B26" s="4"/>
      <c r="C26" s="4"/>
      <c r="D26" s="4"/>
      <c r="E26" s="4"/>
      <c r="F26" s="4"/>
      <c r="G26" s="5"/>
      <c r="H26" s="22"/>
      <c r="I26" s="22"/>
      <c r="J26" s="22"/>
      <c r="K26" s="22"/>
      <c r="L26" s="22"/>
      <c r="M26" s="22"/>
      <c r="N26" s="22"/>
      <c r="O26" s="22"/>
      <c r="P26" s="22"/>
      <c r="Q26" s="22"/>
      <c r="R26" s="22"/>
      <c r="S26" s="22"/>
      <c r="T26" s="22"/>
      <c r="U26" s="22"/>
      <c r="V26" s="22"/>
      <c r="W26" s="22"/>
      <c r="X26" s="22"/>
      <c r="Y26" s="22"/>
      <c r="Z26" s="22"/>
    </row>
    <row r="27" spans="1:26">
      <c r="A27" s="592" t="s">
        <v>334</v>
      </c>
      <c r="B27" s="21" t="str">
        <f>"Statistik Planung PSV "&amp;RIGHT('Copy &amp; Paste'!C34+2,4)&amp;" ergänzen"</f>
        <v>Statistik Planung PSV 2025 ergänzen</v>
      </c>
      <c r="C27" s="4"/>
      <c r="D27" s="4"/>
      <c r="E27" s="4"/>
      <c r="F27" s="4"/>
      <c r="G27" s="5"/>
      <c r="H27" s="22"/>
      <c r="I27" s="22"/>
      <c r="J27" s="22"/>
      <c r="K27" s="22"/>
      <c r="L27" s="22"/>
      <c r="M27" s="22"/>
      <c r="N27" s="22"/>
      <c r="O27" s="22"/>
      <c r="P27" s="22"/>
      <c r="Q27" s="22"/>
      <c r="R27" s="22"/>
      <c r="S27" s="22"/>
      <c r="T27" s="22"/>
      <c r="U27" s="22"/>
      <c r="V27" s="22"/>
      <c r="W27" s="22"/>
      <c r="X27" s="22"/>
      <c r="Y27" s="22"/>
      <c r="Z27" s="22"/>
    </row>
    <row r="28" spans="1:26">
      <c r="A28" s="592"/>
      <c r="B28" s="4"/>
      <c r="C28" s="4"/>
      <c r="D28" s="4"/>
      <c r="E28" s="4"/>
      <c r="F28" s="4"/>
      <c r="G28" s="5"/>
      <c r="H28" s="22"/>
      <c r="I28" s="22"/>
      <c r="J28" s="22"/>
      <c r="K28" s="22"/>
      <c r="L28" s="22"/>
      <c r="M28" s="22"/>
      <c r="N28" s="22"/>
      <c r="O28" s="22"/>
      <c r="P28" s="22"/>
      <c r="Q28" s="22"/>
      <c r="R28" s="22"/>
      <c r="S28" s="22"/>
      <c r="T28" s="22"/>
      <c r="U28" s="22"/>
      <c r="V28" s="22"/>
      <c r="W28" s="22"/>
      <c r="X28" s="22"/>
      <c r="Y28" s="22"/>
      <c r="Z28" s="22"/>
    </row>
    <row r="29" spans="1:26">
      <c r="A29" s="592" t="s">
        <v>335</v>
      </c>
      <c r="B29" s="21" t="s">
        <v>838</v>
      </c>
      <c r="C29" s="4"/>
      <c r="D29" s="4"/>
      <c r="E29" s="4"/>
      <c r="F29" s="4"/>
      <c r="G29" s="5"/>
      <c r="H29" s="22"/>
      <c r="I29" s="22"/>
      <c r="J29" s="22"/>
      <c r="K29" s="22"/>
      <c r="L29" s="22"/>
      <c r="M29" s="22"/>
      <c r="N29" s="22"/>
      <c r="O29" s="22"/>
      <c r="P29" s="22"/>
      <c r="Q29" s="22"/>
      <c r="R29" s="22"/>
      <c r="S29" s="22"/>
      <c r="T29" s="22"/>
      <c r="U29" s="22"/>
      <c r="V29" s="22"/>
      <c r="W29" s="22"/>
      <c r="X29" s="22"/>
      <c r="Y29" s="22"/>
      <c r="Z29" s="22"/>
    </row>
    <row r="30" spans="1:26">
      <c r="A30" s="592"/>
      <c r="B30" s="4"/>
      <c r="C30" s="4"/>
      <c r="D30" s="4"/>
      <c r="E30" s="4"/>
      <c r="F30" s="4"/>
      <c r="G30" s="5"/>
      <c r="H30" s="22"/>
      <c r="I30" s="22"/>
      <c r="J30" s="22"/>
      <c r="K30" s="22"/>
      <c r="L30" s="22"/>
      <c r="M30" s="22"/>
      <c r="N30" s="22"/>
      <c r="O30" s="22"/>
      <c r="P30" s="22"/>
      <c r="Q30" s="22"/>
      <c r="R30" s="22"/>
      <c r="S30" s="22"/>
      <c r="T30" s="22"/>
      <c r="U30" s="22"/>
      <c r="V30" s="22"/>
      <c r="W30" s="22"/>
      <c r="X30" s="22"/>
      <c r="Y30" s="22"/>
      <c r="Z30" s="22"/>
    </row>
    <row r="31" spans="1:26">
      <c r="A31" s="592" t="s">
        <v>336</v>
      </c>
      <c r="B31" s="21" t="s">
        <v>1071</v>
      </c>
      <c r="C31" s="4"/>
      <c r="D31" s="4"/>
      <c r="E31" s="4"/>
      <c r="F31" s="4"/>
      <c r="G31" s="5"/>
      <c r="H31" s="22"/>
      <c r="I31" s="22"/>
      <c r="J31" s="22"/>
      <c r="K31" s="22"/>
      <c r="L31" s="22"/>
      <c r="M31" s="22"/>
      <c r="N31" s="22"/>
      <c r="O31" s="22"/>
      <c r="P31" s="22"/>
      <c r="Q31" s="22"/>
      <c r="R31" s="22"/>
      <c r="S31" s="22"/>
      <c r="T31" s="22"/>
      <c r="U31" s="22"/>
      <c r="V31" s="22"/>
      <c r="W31" s="22"/>
      <c r="X31" s="22"/>
      <c r="Y31" s="22"/>
      <c r="Z31" s="22"/>
    </row>
    <row r="32" spans="1:26">
      <c r="A32" s="592"/>
      <c r="B32" s="4"/>
      <c r="C32" s="4"/>
      <c r="D32" s="4"/>
      <c r="E32" s="4"/>
      <c r="F32" s="4"/>
      <c r="G32" s="5"/>
      <c r="H32" s="22"/>
      <c r="I32" s="22"/>
      <c r="J32" s="22"/>
      <c r="K32" s="22"/>
      <c r="L32" s="22"/>
      <c r="M32" s="22"/>
      <c r="N32" s="22"/>
      <c r="O32" s="22"/>
      <c r="P32" s="22"/>
      <c r="Q32" s="22"/>
      <c r="R32" s="22"/>
      <c r="S32" s="22"/>
      <c r="T32" s="22"/>
      <c r="U32" s="22"/>
      <c r="V32" s="22"/>
      <c r="W32" s="22"/>
      <c r="X32" s="22"/>
      <c r="Y32" s="22"/>
      <c r="Z32" s="22"/>
    </row>
    <row r="33" spans="1:26">
      <c r="A33" s="592" t="s">
        <v>337</v>
      </c>
      <c r="B33" s="21" t="s">
        <v>339</v>
      </c>
      <c r="C33" s="4"/>
      <c r="D33" s="4"/>
      <c r="E33" s="4"/>
      <c r="F33" s="4"/>
      <c r="G33" s="5"/>
      <c r="H33" s="22"/>
      <c r="I33" s="22"/>
      <c r="J33" s="22"/>
      <c r="K33" s="22"/>
      <c r="L33" s="22"/>
      <c r="M33" s="22"/>
      <c r="N33" s="22"/>
      <c r="O33" s="22"/>
      <c r="P33" s="22"/>
      <c r="Q33" s="22"/>
      <c r="R33" s="22"/>
      <c r="S33" s="22"/>
      <c r="T33" s="22"/>
      <c r="U33" s="22"/>
      <c r="V33" s="22"/>
      <c r="W33" s="22"/>
      <c r="X33" s="22"/>
      <c r="Y33" s="22"/>
      <c r="Z33" s="22"/>
    </row>
    <row r="34" spans="1:26">
      <c r="A34" s="592"/>
      <c r="B34" s="21"/>
      <c r="C34" s="4"/>
      <c r="D34" s="4"/>
      <c r="E34" s="4"/>
      <c r="F34" s="4"/>
      <c r="G34" s="5"/>
      <c r="H34" s="22"/>
      <c r="I34" s="22"/>
      <c r="J34" s="22"/>
      <c r="K34" s="22"/>
      <c r="L34" s="22"/>
      <c r="M34" s="22"/>
      <c r="N34" s="22"/>
      <c r="O34" s="22"/>
      <c r="P34" s="22"/>
      <c r="Q34" s="22"/>
      <c r="R34" s="22"/>
      <c r="S34" s="22"/>
      <c r="T34" s="22"/>
      <c r="U34" s="22"/>
      <c r="V34" s="22"/>
      <c r="W34" s="22"/>
      <c r="X34" s="22"/>
      <c r="Y34" s="22"/>
      <c r="Z34" s="22"/>
    </row>
    <row r="35" spans="1:26">
      <c r="A35" s="592" t="s">
        <v>1355</v>
      </c>
      <c r="B35" s="21" t="s">
        <v>1966</v>
      </c>
      <c r="C35" s="4"/>
      <c r="D35" s="4"/>
      <c r="E35" s="4"/>
      <c r="F35" s="4"/>
      <c r="G35" s="5"/>
      <c r="H35" s="22"/>
      <c r="I35" s="22"/>
      <c r="J35" s="22"/>
      <c r="K35" s="22"/>
      <c r="L35" s="22"/>
      <c r="M35" s="22"/>
      <c r="N35" s="22"/>
      <c r="O35" s="22"/>
      <c r="P35" s="22"/>
      <c r="Q35" s="22"/>
      <c r="R35" s="22"/>
      <c r="S35" s="22"/>
      <c r="T35" s="22"/>
      <c r="U35" s="22"/>
      <c r="V35" s="22"/>
      <c r="W35" s="22"/>
      <c r="X35" s="22"/>
      <c r="Y35" s="22"/>
      <c r="Z35" s="22"/>
    </row>
    <row r="36" spans="1:26">
      <c r="A36" s="592"/>
      <c r="B36" s="21"/>
      <c r="C36" s="4"/>
      <c r="D36" s="4"/>
      <c r="E36" s="4"/>
      <c r="F36" s="4"/>
      <c r="G36" s="5"/>
      <c r="H36" s="22"/>
      <c r="I36" s="22"/>
      <c r="J36" s="22"/>
      <c r="K36" s="22"/>
      <c r="L36" s="22"/>
      <c r="M36" s="22"/>
      <c r="N36" s="22"/>
      <c r="O36" s="22"/>
      <c r="P36" s="22"/>
      <c r="Q36" s="22"/>
      <c r="R36" s="22"/>
      <c r="S36" s="22"/>
      <c r="T36" s="22"/>
      <c r="U36" s="22"/>
      <c r="V36" s="22"/>
      <c r="W36" s="22"/>
      <c r="X36" s="22"/>
      <c r="Y36" s="22"/>
      <c r="Z36" s="22"/>
    </row>
    <row r="37" spans="1:26">
      <c r="A37" s="592" t="s">
        <v>1359</v>
      </c>
      <c r="B37" s="21" t="s">
        <v>1356</v>
      </c>
      <c r="C37" s="4"/>
      <c r="D37" s="4"/>
      <c r="E37" s="593" t="s">
        <v>1357</v>
      </c>
      <c r="F37" s="593" t="s">
        <v>1358</v>
      </c>
      <c r="G37" s="5"/>
      <c r="H37" s="22"/>
      <c r="I37" s="22"/>
      <c r="J37" s="22"/>
      <c r="K37" s="22"/>
      <c r="L37" s="22"/>
      <c r="M37" s="22"/>
      <c r="N37" s="22"/>
      <c r="O37" s="22"/>
      <c r="P37" s="22"/>
      <c r="Q37" s="22"/>
      <c r="R37" s="22"/>
      <c r="S37" s="22"/>
      <c r="T37" s="22"/>
      <c r="U37" s="22"/>
      <c r="V37" s="22"/>
      <c r="W37" s="22"/>
      <c r="X37" s="22"/>
      <c r="Y37" s="22"/>
      <c r="Z37" s="22"/>
    </row>
    <row r="38" spans="1:26">
      <c r="A38" s="592"/>
      <c r="B38" s="21"/>
      <c r="C38" s="4"/>
      <c r="D38" s="4"/>
      <c r="E38" s="4"/>
      <c r="F38" s="4"/>
      <c r="G38" s="5"/>
      <c r="H38" s="23"/>
      <c r="I38" s="22"/>
      <c r="J38" s="22"/>
      <c r="K38" s="22"/>
      <c r="L38" s="22"/>
      <c r="M38" s="22"/>
      <c r="N38" s="22"/>
      <c r="O38" s="22"/>
      <c r="P38" s="22"/>
      <c r="Q38" s="22"/>
      <c r="R38" s="22"/>
      <c r="S38" s="22"/>
      <c r="T38" s="22"/>
      <c r="U38" s="22"/>
      <c r="V38" s="22"/>
      <c r="W38" s="22"/>
      <c r="X38" s="22"/>
      <c r="Y38" s="22"/>
      <c r="Z38" s="22"/>
    </row>
    <row r="39" spans="1:26">
      <c r="A39" s="592"/>
      <c r="B39" s="21"/>
      <c r="C39" s="4"/>
      <c r="D39" s="4"/>
      <c r="E39" s="4"/>
      <c r="F39" s="4"/>
      <c r="G39" s="5"/>
      <c r="H39" s="23"/>
      <c r="I39" s="22"/>
      <c r="J39" s="22"/>
      <c r="K39" s="22"/>
      <c r="L39" s="22"/>
      <c r="M39" s="22"/>
      <c r="N39" s="22"/>
      <c r="O39" s="22"/>
      <c r="P39" s="22"/>
      <c r="Q39" s="22"/>
      <c r="R39" s="22"/>
      <c r="S39" s="22"/>
      <c r="T39" s="22"/>
      <c r="U39" s="22"/>
      <c r="V39" s="22"/>
      <c r="W39" s="22"/>
      <c r="X39" s="22"/>
      <c r="Y39" s="22"/>
      <c r="Z39" s="22"/>
    </row>
    <row r="40" spans="1:26">
      <c r="A40" s="592"/>
      <c r="B40" s="21"/>
      <c r="C40" s="4"/>
      <c r="D40" s="4"/>
      <c r="E40" s="597"/>
      <c r="F40" s="597"/>
      <c r="G40" s="5"/>
      <c r="H40" s="23"/>
      <c r="I40" s="22"/>
      <c r="J40" s="22"/>
      <c r="K40" s="22"/>
      <c r="L40" s="22"/>
      <c r="M40" s="22"/>
      <c r="N40" s="22"/>
      <c r="O40" s="22"/>
      <c r="P40" s="22"/>
      <c r="Q40" s="22"/>
      <c r="R40" s="22"/>
      <c r="S40" s="22"/>
      <c r="T40" s="22"/>
      <c r="U40" s="22"/>
      <c r="V40" s="22"/>
      <c r="W40" s="22"/>
      <c r="X40" s="22"/>
      <c r="Y40" s="22"/>
      <c r="Z40" s="22"/>
    </row>
    <row r="41" spans="1:26">
      <c r="A41" s="592"/>
      <c r="B41" s="21"/>
      <c r="C41" s="4"/>
      <c r="D41" s="4"/>
      <c r="E41" s="4"/>
      <c r="F41" s="4"/>
      <c r="G41" s="5"/>
      <c r="H41" s="23"/>
      <c r="I41" s="22"/>
      <c r="J41" s="22"/>
      <c r="K41" s="22"/>
      <c r="L41" s="22"/>
      <c r="M41" s="22"/>
      <c r="N41" s="22"/>
      <c r="O41" s="22"/>
      <c r="P41" s="22"/>
      <c r="Q41" s="22"/>
      <c r="R41" s="22"/>
      <c r="S41" s="22"/>
      <c r="T41" s="22"/>
      <c r="U41" s="22"/>
      <c r="V41" s="22"/>
      <c r="W41" s="22"/>
      <c r="X41" s="22"/>
      <c r="Y41" s="22"/>
      <c r="Z41" s="22"/>
    </row>
    <row r="42" spans="1:26">
      <c r="A42" s="592" t="s">
        <v>1967</v>
      </c>
      <c r="B42" s="21" t="s">
        <v>1973</v>
      </c>
      <c r="C42" s="4"/>
      <c r="D42" s="4"/>
      <c r="E42" s="4"/>
      <c r="F42" s="3239"/>
      <c r="G42" s="5"/>
      <c r="H42" s="23"/>
      <c r="I42" s="22"/>
      <c r="J42" s="22"/>
      <c r="K42" s="22"/>
      <c r="L42" s="22"/>
      <c r="M42" s="22"/>
      <c r="N42" s="22"/>
      <c r="O42" s="22"/>
      <c r="P42" s="22"/>
      <c r="Q42" s="22"/>
      <c r="R42" s="22"/>
      <c r="S42" s="22"/>
      <c r="T42" s="22"/>
      <c r="U42" s="22"/>
      <c r="V42" s="22"/>
      <c r="W42" s="22"/>
      <c r="X42" s="22"/>
      <c r="Y42" s="22"/>
      <c r="Z42" s="22"/>
    </row>
    <row r="43" spans="1:26" ht="13.5" thickBot="1">
      <c r="A43" s="520" t="str">
        <f>IF('Copy &amp; Paste'!B14="nein","","PKZ Ergebnis bei Pauschale:")</f>
        <v/>
      </c>
      <c r="B43" s="6"/>
      <c r="C43" s="521" t="str">
        <f>IF('Copy &amp; Paste'!B14="nein","",ROUND(((Pauschal!$B$19*0.78)+(Pauschal!$B$20*1)+(Pauschal!$B$21*1.64)+(Pauschal!$B$22*2.31)+(Pauschal!$B$23*2.6))/Pauschal!$B$24*100,0))</f>
        <v/>
      </c>
      <c r="D43" s="610" t="str">
        <f>IF('Copy &amp; Paste'!B14="nein","","Fachkraftquote bei Pauschale:")</f>
        <v/>
      </c>
      <c r="E43" s="6"/>
      <c r="F43" s="611" t="str">
        <f>IF('Copy &amp; Paste'!B14="nein","",Pauschal!H31/(Pauschal!H31+Pauschal!H32))</f>
        <v/>
      </c>
      <c r="G43" s="7"/>
      <c r="H43" s="23"/>
      <c r="I43" s="22"/>
      <c r="J43" s="22"/>
      <c r="K43" s="22"/>
      <c r="L43" s="22"/>
      <c r="M43" s="22"/>
      <c r="N43" s="22"/>
      <c r="O43" s="22"/>
      <c r="P43" s="22"/>
      <c r="Q43" s="22"/>
      <c r="R43" s="22"/>
      <c r="S43" s="22"/>
      <c r="T43" s="22"/>
      <c r="U43" s="22"/>
      <c r="V43" s="22"/>
      <c r="W43" s="22"/>
      <c r="X43" s="22"/>
      <c r="Y43" s="22"/>
      <c r="Z43" s="22"/>
    </row>
    <row r="44" spans="1:26">
      <c r="A44" s="23"/>
      <c r="B44" s="23"/>
      <c r="C44" s="23"/>
      <c r="D44" s="23"/>
      <c r="E44" s="23"/>
      <c r="F44" s="23"/>
      <c r="G44" s="23"/>
      <c r="H44" s="23"/>
      <c r="I44" s="22"/>
      <c r="J44" s="22"/>
      <c r="K44" s="22"/>
      <c r="L44" s="22"/>
      <c r="M44" s="22"/>
      <c r="N44" s="22"/>
      <c r="O44" s="22"/>
      <c r="P44" s="22"/>
      <c r="Q44" s="22"/>
      <c r="R44" s="22"/>
      <c r="S44" s="22"/>
      <c r="T44" s="22"/>
      <c r="U44" s="22"/>
      <c r="V44" s="22"/>
      <c r="W44" s="22"/>
      <c r="X44" s="22"/>
      <c r="Y44" s="22"/>
      <c r="Z44" s="22"/>
    </row>
    <row r="45" spans="1:26">
      <c r="A45" s="24"/>
      <c r="B45" s="24"/>
      <c r="C45" s="23"/>
      <c r="D45" s="23"/>
      <c r="E45" s="23"/>
      <c r="F45" s="23"/>
      <c r="G45" s="23"/>
      <c r="H45" s="23"/>
      <c r="I45" s="22"/>
      <c r="J45" s="22"/>
      <c r="K45" s="22"/>
      <c r="L45" s="22"/>
      <c r="M45" s="22"/>
      <c r="N45" s="22"/>
      <c r="O45" s="22"/>
      <c r="P45" s="22"/>
      <c r="Q45" s="22"/>
      <c r="R45" s="22"/>
      <c r="S45" s="22"/>
      <c r="T45" s="22"/>
      <c r="U45" s="22"/>
      <c r="V45" s="22"/>
      <c r="W45" s="22"/>
      <c r="X45" s="22"/>
      <c r="Y45" s="22"/>
      <c r="Z45" s="22"/>
    </row>
    <row r="46" spans="1:26">
      <c r="A46" s="24"/>
      <c r="B46" s="24"/>
      <c r="C46" s="23"/>
      <c r="D46" s="23"/>
      <c r="E46" s="23"/>
      <c r="F46" s="23"/>
      <c r="G46" s="23"/>
      <c r="H46" s="23"/>
      <c r="I46" s="22"/>
      <c r="J46" s="22"/>
      <c r="K46" s="22"/>
      <c r="L46" s="22"/>
      <c r="M46" s="22"/>
      <c r="N46" s="22"/>
      <c r="O46" s="22"/>
      <c r="P46" s="22"/>
      <c r="Q46" s="22"/>
      <c r="R46" s="22"/>
      <c r="S46" s="22"/>
      <c r="T46" s="22"/>
      <c r="U46" s="22"/>
      <c r="V46" s="22"/>
      <c r="W46" s="22"/>
      <c r="X46" s="22"/>
      <c r="Y46" s="22"/>
      <c r="Z46" s="22"/>
    </row>
    <row r="47" spans="1:26">
      <c r="A47" s="24"/>
      <c r="B47" s="24"/>
      <c r="C47" s="23"/>
      <c r="D47" s="23"/>
      <c r="E47" s="23"/>
      <c r="F47" s="23"/>
      <c r="G47" s="23"/>
      <c r="H47" s="23"/>
      <c r="I47" s="22"/>
      <c r="J47" s="22"/>
      <c r="K47" s="22"/>
      <c r="L47" s="22"/>
      <c r="M47" s="22"/>
      <c r="N47" s="22"/>
      <c r="O47" s="22"/>
      <c r="P47" s="22"/>
      <c r="Q47" s="22"/>
      <c r="R47" s="22"/>
      <c r="S47" s="22"/>
      <c r="T47" s="22"/>
      <c r="U47" s="22"/>
      <c r="V47" s="22"/>
      <c r="W47" s="22"/>
      <c r="X47" s="22"/>
      <c r="Y47" s="22"/>
      <c r="Z47" s="22"/>
    </row>
    <row r="48" spans="1:26">
      <c r="A48" s="23"/>
      <c r="B48" s="23"/>
      <c r="C48" s="23"/>
      <c r="D48" s="23"/>
      <c r="E48" s="23"/>
      <c r="F48" s="23"/>
      <c r="G48" s="23"/>
      <c r="H48" s="23"/>
      <c r="I48" s="22"/>
      <c r="J48" s="22"/>
      <c r="K48" s="22"/>
      <c r="L48" s="22"/>
      <c r="M48" s="22"/>
      <c r="N48" s="22"/>
      <c r="O48" s="22"/>
      <c r="P48" s="22"/>
      <c r="Q48" s="22"/>
      <c r="R48" s="22"/>
      <c r="S48" s="22"/>
      <c r="T48" s="22"/>
      <c r="U48" s="22"/>
      <c r="V48" s="22"/>
      <c r="W48" s="22"/>
      <c r="X48" s="22"/>
      <c r="Y48" s="22"/>
      <c r="Z48" s="22"/>
    </row>
    <row r="49" spans="1:26">
      <c r="A49" s="23"/>
      <c r="B49" s="23"/>
      <c r="C49" s="23"/>
      <c r="D49" s="23"/>
      <c r="E49" s="23"/>
      <c r="F49" s="23"/>
      <c r="G49" s="23"/>
      <c r="H49" s="23"/>
      <c r="I49" s="22"/>
      <c r="J49" s="22"/>
      <c r="K49" s="22"/>
      <c r="L49" s="22"/>
      <c r="M49" s="22"/>
      <c r="N49" s="22"/>
      <c r="O49" s="22"/>
      <c r="P49" s="22"/>
      <c r="Q49" s="22"/>
      <c r="R49" s="22"/>
      <c r="S49" s="22"/>
      <c r="T49" s="22"/>
      <c r="U49" s="22"/>
      <c r="V49" s="22"/>
      <c r="W49" s="22"/>
      <c r="X49" s="22"/>
      <c r="Y49" s="22"/>
      <c r="Z49" s="22"/>
    </row>
    <row r="50" spans="1:26">
      <c r="A50" s="23"/>
      <c r="B50" s="23"/>
      <c r="C50" s="23"/>
      <c r="D50" s="23"/>
      <c r="E50" s="23"/>
      <c r="F50" s="23"/>
      <c r="G50" s="23"/>
      <c r="H50" s="23"/>
      <c r="I50" s="22"/>
      <c r="J50" s="22"/>
      <c r="K50" s="22"/>
      <c r="L50" s="22"/>
      <c r="M50" s="22"/>
      <c r="N50" s="22"/>
      <c r="O50" s="22"/>
      <c r="P50" s="22"/>
      <c r="Q50" s="22"/>
      <c r="R50" s="22"/>
      <c r="S50" s="22"/>
      <c r="T50" s="22"/>
      <c r="U50" s="22"/>
      <c r="V50" s="22"/>
      <c r="W50" s="22"/>
      <c r="X50" s="22"/>
      <c r="Y50" s="22"/>
      <c r="Z50" s="22"/>
    </row>
    <row r="51" spans="1:26">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sheetData>
  <mergeCells count="4">
    <mergeCell ref="A2:G2"/>
    <mergeCell ref="C11:E11"/>
    <mergeCell ref="A5:G6"/>
    <mergeCell ref="B7:F7"/>
  </mergeCells>
  <phoneticPr fontId="0" type="noConversion"/>
  <conditionalFormatting sqref="K1:K2">
    <cfRule type="containsErrors" dxfId="2" priority="3">
      <formula>ISERROR(K1)</formula>
    </cfRule>
  </conditionalFormatting>
  <conditionalFormatting sqref="H1">
    <cfRule type="expression" dxfId="1" priority="2">
      <formula>ISERROR(K1)</formula>
    </cfRule>
  </conditionalFormatting>
  <conditionalFormatting sqref="H2">
    <cfRule type="expression" dxfId="0" priority="1">
      <formula>ISERROR(K2)</formula>
    </cfRule>
  </conditionalFormatting>
  <pageMargins left="0.78740157499999996" right="0.78740157499999996" top="0.984251969" bottom="0.984251969" header="0.4921259845"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nchor moveWithCells="1">
                  <from>
                    <xdr:col>6</xdr:col>
                    <xdr:colOff>228600</xdr:colOff>
                    <xdr:row>11</xdr:row>
                    <xdr:rowOff>133350</xdr:rowOff>
                  </from>
                  <to>
                    <xdr:col>6</xdr:col>
                    <xdr:colOff>533400</xdr:colOff>
                    <xdr:row>13</xdr:row>
                    <xdr:rowOff>28575</xdr:rowOff>
                  </to>
                </anchor>
              </controlPr>
            </control>
          </mc:Choice>
        </mc:AlternateContent>
        <mc:AlternateContent xmlns:mc="http://schemas.openxmlformats.org/markup-compatibility/2006">
          <mc:Choice Requires="x14">
            <control shapeId="26627" r:id="rId5" name="Check Box 3">
              <controlPr defaultSize="0" autoFill="0" autoLine="0" autoPict="0">
                <anchor moveWithCells="1">
                  <from>
                    <xdr:col>6</xdr:col>
                    <xdr:colOff>228600</xdr:colOff>
                    <xdr:row>13</xdr:row>
                    <xdr:rowOff>133350</xdr:rowOff>
                  </from>
                  <to>
                    <xdr:col>6</xdr:col>
                    <xdr:colOff>533400</xdr:colOff>
                    <xdr:row>15</xdr:row>
                    <xdr:rowOff>28575</xdr:rowOff>
                  </to>
                </anchor>
              </controlPr>
            </control>
          </mc:Choice>
        </mc:AlternateContent>
        <mc:AlternateContent xmlns:mc="http://schemas.openxmlformats.org/markup-compatibility/2006">
          <mc:Choice Requires="x14">
            <control shapeId="26628" r:id="rId6" name="Check Box 4">
              <controlPr defaultSize="0" autoFill="0" autoLine="0" autoPict="0">
                <anchor moveWithCells="1">
                  <from>
                    <xdr:col>6</xdr:col>
                    <xdr:colOff>228600</xdr:colOff>
                    <xdr:row>15</xdr:row>
                    <xdr:rowOff>133350</xdr:rowOff>
                  </from>
                  <to>
                    <xdr:col>6</xdr:col>
                    <xdr:colOff>533400</xdr:colOff>
                    <xdr:row>17</xdr:row>
                    <xdr:rowOff>28575</xdr:rowOff>
                  </to>
                </anchor>
              </controlPr>
            </control>
          </mc:Choice>
        </mc:AlternateContent>
        <mc:AlternateContent xmlns:mc="http://schemas.openxmlformats.org/markup-compatibility/2006">
          <mc:Choice Requires="x14">
            <control shapeId="26629" r:id="rId7" name="Check Box 5">
              <controlPr defaultSize="0" autoFill="0" autoLine="0" autoPict="0">
                <anchor moveWithCells="1">
                  <from>
                    <xdr:col>6</xdr:col>
                    <xdr:colOff>228600</xdr:colOff>
                    <xdr:row>17</xdr:row>
                    <xdr:rowOff>133350</xdr:rowOff>
                  </from>
                  <to>
                    <xdr:col>6</xdr:col>
                    <xdr:colOff>533400</xdr:colOff>
                    <xdr:row>19</xdr:row>
                    <xdr:rowOff>28575</xdr:rowOff>
                  </to>
                </anchor>
              </controlPr>
            </control>
          </mc:Choice>
        </mc:AlternateContent>
        <mc:AlternateContent xmlns:mc="http://schemas.openxmlformats.org/markup-compatibility/2006">
          <mc:Choice Requires="x14">
            <control shapeId="26630" r:id="rId8" name="Check Box 6">
              <controlPr defaultSize="0" autoFill="0" autoLine="0" autoPict="0">
                <anchor moveWithCells="1">
                  <from>
                    <xdr:col>6</xdr:col>
                    <xdr:colOff>228600</xdr:colOff>
                    <xdr:row>19</xdr:row>
                    <xdr:rowOff>133350</xdr:rowOff>
                  </from>
                  <to>
                    <xdr:col>6</xdr:col>
                    <xdr:colOff>533400</xdr:colOff>
                    <xdr:row>21</xdr:row>
                    <xdr:rowOff>28575</xdr:rowOff>
                  </to>
                </anchor>
              </controlPr>
            </control>
          </mc:Choice>
        </mc:AlternateContent>
        <mc:AlternateContent xmlns:mc="http://schemas.openxmlformats.org/markup-compatibility/2006">
          <mc:Choice Requires="x14">
            <control shapeId="26631" r:id="rId9" name="Check Box 7">
              <controlPr defaultSize="0" autoFill="0" autoLine="0" autoPict="0">
                <anchor moveWithCells="1">
                  <from>
                    <xdr:col>6</xdr:col>
                    <xdr:colOff>228600</xdr:colOff>
                    <xdr:row>21</xdr:row>
                    <xdr:rowOff>133350</xdr:rowOff>
                  </from>
                  <to>
                    <xdr:col>6</xdr:col>
                    <xdr:colOff>533400</xdr:colOff>
                    <xdr:row>23</xdr:row>
                    <xdr:rowOff>28575</xdr:rowOff>
                  </to>
                </anchor>
              </controlPr>
            </control>
          </mc:Choice>
        </mc:AlternateContent>
        <mc:AlternateContent xmlns:mc="http://schemas.openxmlformats.org/markup-compatibility/2006">
          <mc:Choice Requires="x14">
            <control shapeId="26632" r:id="rId10" name="Check Box 8">
              <controlPr defaultSize="0" autoFill="0" autoLine="0" autoPict="0">
                <anchor moveWithCells="1">
                  <from>
                    <xdr:col>6</xdr:col>
                    <xdr:colOff>228600</xdr:colOff>
                    <xdr:row>23</xdr:row>
                    <xdr:rowOff>133350</xdr:rowOff>
                  </from>
                  <to>
                    <xdr:col>6</xdr:col>
                    <xdr:colOff>533400</xdr:colOff>
                    <xdr:row>25</xdr:row>
                    <xdr:rowOff>28575</xdr:rowOff>
                  </to>
                </anchor>
              </controlPr>
            </control>
          </mc:Choice>
        </mc:AlternateContent>
        <mc:AlternateContent xmlns:mc="http://schemas.openxmlformats.org/markup-compatibility/2006">
          <mc:Choice Requires="x14">
            <control shapeId="26633" r:id="rId11" name="Check Box 9">
              <controlPr defaultSize="0" autoFill="0" autoLine="0" autoPict="0">
                <anchor moveWithCells="1">
                  <from>
                    <xdr:col>6</xdr:col>
                    <xdr:colOff>228600</xdr:colOff>
                    <xdr:row>25</xdr:row>
                    <xdr:rowOff>133350</xdr:rowOff>
                  </from>
                  <to>
                    <xdr:col>6</xdr:col>
                    <xdr:colOff>533400</xdr:colOff>
                    <xdr:row>27</xdr:row>
                    <xdr:rowOff>28575</xdr:rowOff>
                  </to>
                </anchor>
              </controlPr>
            </control>
          </mc:Choice>
        </mc:AlternateContent>
        <mc:AlternateContent xmlns:mc="http://schemas.openxmlformats.org/markup-compatibility/2006">
          <mc:Choice Requires="x14">
            <control shapeId="26634" r:id="rId12" name="Check Box 10">
              <controlPr defaultSize="0" autoFill="0" autoLine="0" autoPict="0">
                <anchor moveWithCells="1">
                  <from>
                    <xdr:col>6</xdr:col>
                    <xdr:colOff>228600</xdr:colOff>
                    <xdr:row>27</xdr:row>
                    <xdr:rowOff>133350</xdr:rowOff>
                  </from>
                  <to>
                    <xdr:col>6</xdr:col>
                    <xdr:colOff>533400</xdr:colOff>
                    <xdr:row>29</xdr:row>
                    <xdr:rowOff>28575</xdr:rowOff>
                  </to>
                </anchor>
              </controlPr>
            </control>
          </mc:Choice>
        </mc:AlternateContent>
        <mc:AlternateContent xmlns:mc="http://schemas.openxmlformats.org/markup-compatibility/2006">
          <mc:Choice Requires="x14">
            <control shapeId="26635" r:id="rId13" name="Check Box 11">
              <controlPr defaultSize="0" autoFill="0" autoLine="0" autoPict="0">
                <anchor moveWithCells="1">
                  <from>
                    <xdr:col>6</xdr:col>
                    <xdr:colOff>228600</xdr:colOff>
                    <xdr:row>29</xdr:row>
                    <xdr:rowOff>133350</xdr:rowOff>
                  </from>
                  <to>
                    <xdr:col>6</xdr:col>
                    <xdr:colOff>533400</xdr:colOff>
                    <xdr:row>31</xdr:row>
                    <xdr:rowOff>28575</xdr:rowOff>
                  </to>
                </anchor>
              </controlPr>
            </control>
          </mc:Choice>
        </mc:AlternateContent>
        <mc:AlternateContent xmlns:mc="http://schemas.openxmlformats.org/markup-compatibility/2006">
          <mc:Choice Requires="x14">
            <control shapeId="26636" r:id="rId14" name="Check Box 12">
              <controlPr defaultSize="0" autoFill="0" autoLine="0" autoPict="0">
                <anchor moveWithCells="1">
                  <from>
                    <xdr:col>6</xdr:col>
                    <xdr:colOff>228600</xdr:colOff>
                    <xdr:row>31</xdr:row>
                    <xdr:rowOff>133350</xdr:rowOff>
                  </from>
                  <to>
                    <xdr:col>6</xdr:col>
                    <xdr:colOff>533400</xdr:colOff>
                    <xdr:row>33</xdr:row>
                    <xdr:rowOff>28575</xdr:rowOff>
                  </to>
                </anchor>
              </controlPr>
            </control>
          </mc:Choice>
        </mc:AlternateContent>
        <mc:AlternateContent xmlns:mc="http://schemas.openxmlformats.org/markup-compatibility/2006">
          <mc:Choice Requires="x14">
            <control shapeId="26639" r:id="rId15" name="Check Box 15">
              <controlPr defaultSize="0" autoFill="0" autoLine="0" autoPict="0">
                <anchor moveWithCells="1">
                  <from>
                    <xdr:col>6</xdr:col>
                    <xdr:colOff>228600</xdr:colOff>
                    <xdr:row>11</xdr:row>
                    <xdr:rowOff>133350</xdr:rowOff>
                  </from>
                  <to>
                    <xdr:col>6</xdr:col>
                    <xdr:colOff>533400</xdr:colOff>
                    <xdr:row>13</xdr:row>
                    <xdr:rowOff>28575</xdr:rowOff>
                  </to>
                </anchor>
              </controlPr>
            </control>
          </mc:Choice>
        </mc:AlternateContent>
        <mc:AlternateContent xmlns:mc="http://schemas.openxmlformats.org/markup-compatibility/2006">
          <mc:Choice Requires="x14">
            <control shapeId="26640" r:id="rId16" name="Check Box 16">
              <controlPr defaultSize="0" autoFill="0" autoLine="0" autoPict="0">
                <anchor moveWithCells="1">
                  <from>
                    <xdr:col>6</xdr:col>
                    <xdr:colOff>228600</xdr:colOff>
                    <xdr:row>13</xdr:row>
                    <xdr:rowOff>133350</xdr:rowOff>
                  </from>
                  <to>
                    <xdr:col>6</xdr:col>
                    <xdr:colOff>533400</xdr:colOff>
                    <xdr:row>15</xdr:row>
                    <xdr:rowOff>28575</xdr:rowOff>
                  </to>
                </anchor>
              </controlPr>
            </control>
          </mc:Choice>
        </mc:AlternateContent>
        <mc:AlternateContent xmlns:mc="http://schemas.openxmlformats.org/markup-compatibility/2006">
          <mc:Choice Requires="x14">
            <control shapeId="26641" r:id="rId17" name="Check Box 17">
              <controlPr defaultSize="0" autoFill="0" autoLine="0" autoPict="0">
                <anchor moveWithCells="1">
                  <from>
                    <xdr:col>6</xdr:col>
                    <xdr:colOff>228600</xdr:colOff>
                    <xdr:row>15</xdr:row>
                    <xdr:rowOff>133350</xdr:rowOff>
                  </from>
                  <to>
                    <xdr:col>6</xdr:col>
                    <xdr:colOff>533400</xdr:colOff>
                    <xdr:row>17</xdr:row>
                    <xdr:rowOff>28575</xdr:rowOff>
                  </to>
                </anchor>
              </controlPr>
            </control>
          </mc:Choice>
        </mc:AlternateContent>
        <mc:AlternateContent xmlns:mc="http://schemas.openxmlformats.org/markup-compatibility/2006">
          <mc:Choice Requires="x14">
            <control shapeId="26642" r:id="rId18" name="Check Box 18">
              <controlPr defaultSize="0" autoFill="0" autoLine="0" autoPict="0">
                <anchor moveWithCells="1">
                  <from>
                    <xdr:col>6</xdr:col>
                    <xdr:colOff>228600</xdr:colOff>
                    <xdr:row>17</xdr:row>
                    <xdr:rowOff>133350</xdr:rowOff>
                  </from>
                  <to>
                    <xdr:col>6</xdr:col>
                    <xdr:colOff>533400</xdr:colOff>
                    <xdr:row>19</xdr:row>
                    <xdr:rowOff>28575</xdr:rowOff>
                  </to>
                </anchor>
              </controlPr>
            </control>
          </mc:Choice>
        </mc:AlternateContent>
        <mc:AlternateContent xmlns:mc="http://schemas.openxmlformats.org/markup-compatibility/2006">
          <mc:Choice Requires="x14">
            <control shapeId="26643" r:id="rId19" name="Check Box 19">
              <controlPr defaultSize="0" autoFill="0" autoLine="0" autoPict="0">
                <anchor moveWithCells="1">
                  <from>
                    <xdr:col>6</xdr:col>
                    <xdr:colOff>228600</xdr:colOff>
                    <xdr:row>19</xdr:row>
                    <xdr:rowOff>133350</xdr:rowOff>
                  </from>
                  <to>
                    <xdr:col>6</xdr:col>
                    <xdr:colOff>533400</xdr:colOff>
                    <xdr:row>21</xdr:row>
                    <xdr:rowOff>28575</xdr:rowOff>
                  </to>
                </anchor>
              </controlPr>
            </control>
          </mc:Choice>
        </mc:AlternateContent>
        <mc:AlternateContent xmlns:mc="http://schemas.openxmlformats.org/markup-compatibility/2006">
          <mc:Choice Requires="x14">
            <control shapeId="26644" r:id="rId20" name="Check Box 20">
              <controlPr defaultSize="0" autoFill="0" autoLine="0" autoPict="0">
                <anchor moveWithCells="1">
                  <from>
                    <xdr:col>6</xdr:col>
                    <xdr:colOff>228600</xdr:colOff>
                    <xdr:row>21</xdr:row>
                    <xdr:rowOff>133350</xdr:rowOff>
                  </from>
                  <to>
                    <xdr:col>6</xdr:col>
                    <xdr:colOff>533400</xdr:colOff>
                    <xdr:row>23</xdr:row>
                    <xdr:rowOff>28575</xdr:rowOff>
                  </to>
                </anchor>
              </controlPr>
            </control>
          </mc:Choice>
        </mc:AlternateContent>
        <mc:AlternateContent xmlns:mc="http://schemas.openxmlformats.org/markup-compatibility/2006">
          <mc:Choice Requires="x14">
            <control shapeId="26645" r:id="rId21" name="Check Box 21">
              <controlPr defaultSize="0" autoFill="0" autoLine="0" autoPict="0">
                <anchor moveWithCells="1">
                  <from>
                    <xdr:col>6</xdr:col>
                    <xdr:colOff>228600</xdr:colOff>
                    <xdr:row>23</xdr:row>
                    <xdr:rowOff>133350</xdr:rowOff>
                  </from>
                  <to>
                    <xdr:col>6</xdr:col>
                    <xdr:colOff>533400</xdr:colOff>
                    <xdr:row>25</xdr:row>
                    <xdr:rowOff>28575</xdr:rowOff>
                  </to>
                </anchor>
              </controlPr>
            </control>
          </mc:Choice>
        </mc:AlternateContent>
        <mc:AlternateContent xmlns:mc="http://schemas.openxmlformats.org/markup-compatibility/2006">
          <mc:Choice Requires="x14">
            <control shapeId="26646" r:id="rId22" name="Check Box 22">
              <controlPr defaultSize="0" autoFill="0" autoLine="0" autoPict="0">
                <anchor moveWithCells="1">
                  <from>
                    <xdr:col>6</xdr:col>
                    <xdr:colOff>228600</xdr:colOff>
                    <xdr:row>25</xdr:row>
                    <xdr:rowOff>133350</xdr:rowOff>
                  </from>
                  <to>
                    <xdr:col>6</xdr:col>
                    <xdr:colOff>533400</xdr:colOff>
                    <xdr:row>27</xdr:row>
                    <xdr:rowOff>28575</xdr:rowOff>
                  </to>
                </anchor>
              </controlPr>
            </control>
          </mc:Choice>
        </mc:AlternateContent>
        <mc:AlternateContent xmlns:mc="http://schemas.openxmlformats.org/markup-compatibility/2006">
          <mc:Choice Requires="x14">
            <control shapeId="26647" r:id="rId23" name="Check Box 23">
              <controlPr defaultSize="0" autoFill="0" autoLine="0" autoPict="0">
                <anchor moveWithCells="1">
                  <from>
                    <xdr:col>6</xdr:col>
                    <xdr:colOff>228600</xdr:colOff>
                    <xdr:row>27</xdr:row>
                    <xdr:rowOff>133350</xdr:rowOff>
                  </from>
                  <to>
                    <xdr:col>6</xdr:col>
                    <xdr:colOff>533400</xdr:colOff>
                    <xdr:row>29</xdr:row>
                    <xdr:rowOff>28575</xdr:rowOff>
                  </to>
                </anchor>
              </controlPr>
            </control>
          </mc:Choice>
        </mc:AlternateContent>
        <mc:AlternateContent xmlns:mc="http://schemas.openxmlformats.org/markup-compatibility/2006">
          <mc:Choice Requires="x14">
            <control shapeId="26648" r:id="rId24" name="Check Box 24">
              <controlPr defaultSize="0" autoFill="0" autoLine="0" autoPict="0">
                <anchor moveWithCells="1">
                  <from>
                    <xdr:col>6</xdr:col>
                    <xdr:colOff>228600</xdr:colOff>
                    <xdr:row>29</xdr:row>
                    <xdr:rowOff>133350</xdr:rowOff>
                  </from>
                  <to>
                    <xdr:col>6</xdr:col>
                    <xdr:colOff>533400</xdr:colOff>
                    <xdr:row>31</xdr:row>
                    <xdr:rowOff>28575</xdr:rowOff>
                  </to>
                </anchor>
              </controlPr>
            </control>
          </mc:Choice>
        </mc:AlternateContent>
        <mc:AlternateContent xmlns:mc="http://schemas.openxmlformats.org/markup-compatibility/2006">
          <mc:Choice Requires="x14">
            <control shapeId="26649" r:id="rId25" name="Check Box 25">
              <controlPr defaultSize="0" autoFill="0" autoLine="0" autoPict="0">
                <anchor moveWithCells="1">
                  <from>
                    <xdr:col>6</xdr:col>
                    <xdr:colOff>228600</xdr:colOff>
                    <xdr:row>31</xdr:row>
                    <xdr:rowOff>133350</xdr:rowOff>
                  </from>
                  <to>
                    <xdr:col>6</xdr:col>
                    <xdr:colOff>533400</xdr:colOff>
                    <xdr:row>33</xdr:row>
                    <xdr:rowOff>28575</xdr:rowOff>
                  </to>
                </anchor>
              </controlPr>
            </control>
          </mc:Choice>
        </mc:AlternateContent>
        <mc:AlternateContent xmlns:mc="http://schemas.openxmlformats.org/markup-compatibility/2006">
          <mc:Choice Requires="x14">
            <control shapeId="26650" r:id="rId26" name="Check Box 26">
              <controlPr defaultSize="0" autoFill="0" autoLine="0" autoPict="0">
                <anchor moveWithCells="1">
                  <from>
                    <xdr:col>4</xdr:col>
                    <xdr:colOff>228600</xdr:colOff>
                    <xdr:row>36</xdr:row>
                    <xdr:rowOff>142875</xdr:rowOff>
                  </from>
                  <to>
                    <xdr:col>4</xdr:col>
                    <xdr:colOff>533400</xdr:colOff>
                    <xdr:row>38</xdr:row>
                    <xdr:rowOff>38100</xdr:rowOff>
                  </to>
                </anchor>
              </controlPr>
            </control>
          </mc:Choice>
        </mc:AlternateContent>
        <mc:AlternateContent xmlns:mc="http://schemas.openxmlformats.org/markup-compatibility/2006">
          <mc:Choice Requires="x14">
            <control shapeId="26651" r:id="rId27" name="Check Box 27">
              <controlPr defaultSize="0" autoFill="0" autoLine="0" autoPict="0">
                <anchor moveWithCells="1">
                  <from>
                    <xdr:col>5</xdr:col>
                    <xdr:colOff>276225</xdr:colOff>
                    <xdr:row>36</xdr:row>
                    <xdr:rowOff>133350</xdr:rowOff>
                  </from>
                  <to>
                    <xdr:col>5</xdr:col>
                    <xdr:colOff>581025</xdr:colOff>
                    <xdr:row>38</xdr:row>
                    <xdr:rowOff>28575</xdr:rowOff>
                  </to>
                </anchor>
              </controlPr>
            </control>
          </mc:Choice>
        </mc:AlternateContent>
        <mc:AlternateContent xmlns:mc="http://schemas.openxmlformats.org/markup-compatibility/2006">
          <mc:Choice Requires="x14">
            <control shapeId="26652" r:id="rId28" name="Check Box 28">
              <controlPr defaultSize="0" autoFill="0" autoLine="0" autoPict="0">
                <anchor moveWithCells="1">
                  <from>
                    <xdr:col>6</xdr:col>
                    <xdr:colOff>228600</xdr:colOff>
                    <xdr:row>33</xdr:row>
                    <xdr:rowOff>142875</xdr:rowOff>
                  </from>
                  <to>
                    <xdr:col>6</xdr:col>
                    <xdr:colOff>533400</xdr:colOff>
                    <xdr:row>35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2:P164"/>
  <sheetViews>
    <sheetView zoomScale="120" zoomScaleNormal="120" workbookViewId="0">
      <selection activeCell="D48" sqref="D48"/>
    </sheetView>
  </sheetViews>
  <sheetFormatPr baseColWidth="10" defaultColWidth="11.42578125" defaultRowHeight="15"/>
  <cols>
    <col min="1" max="1" width="4.42578125" style="3482" customWidth="1"/>
    <col min="2" max="2" width="19" style="3482" customWidth="1"/>
    <col min="3" max="6" width="14.7109375" style="3482" customWidth="1"/>
    <col min="7" max="7" width="16.42578125" style="3482" customWidth="1"/>
    <col min="8" max="8" width="25" style="3468" customWidth="1"/>
    <col min="9" max="9" width="5.7109375" style="3482" customWidth="1"/>
    <col min="10" max="15" width="11.42578125" style="3482"/>
    <col min="16" max="16" width="12.7109375" style="3482" customWidth="1"/>
    <col min="17" max="16384" width="11.42578125" style="3482"/>
  </cols>
  <sheetData>
    <row r="2" spans="1:16" s="3468" customFormat="1">
      <c r="A2" s="3470" t="s">
        <v>2188</v>
      </c>
      <c r="B2" s="3471" t="s">
        <v>2189</v>
      </c>
      <c r="C2" s="3472"/>
      <c r="D2" s="3472"/>
      <c r="E2" s="3472"/>
      <c r="F2" s="3472"/>
      <c r="G2" s="3473"/>
      <c r="I2" s="3482"/>
      <c r="J2" s="3482"/>
      <c r="K2" s="3482"/>
      <c r="L2" s="3482"/>
      <c r="M2" s="3482"/>
      <c r="N2" s="3482"/>
      <c r="O2" s="3482"/>
      <c r="P2" s="3482"/>
    </row>
    <row r="3" spans="1:16" s="3468" customFormat="1" ht="15" customHeight="1">
      <c r="A3" s="3469"/>
      <c r="B3" s="3474"/>
      <c r="C3" s="3469"/>
      <c r="D3" s="3469"/>
      <c r="E3" s="3469"/>
      <c r="F3" s="3469"/>
      <c r="G3" s="3469"/>
      <c r="I3" s="3482"/>
      <c r="J3" s="3482"/>
      <c r="K3" s="3482"/>
      <c r="L3" s="3482"/>
      <c r="M3" s="3482"/>
      <c r="N3" s="3482"/>
      <c r="O3" s="3482"/>
      <c r="P3" s="3482"/>
    </row>
    <row r="4" spans="1:16" s="3468" customFormat="1">
      <c r="A4" s="3469" t="s">
        <v>2190</v>
      </c>
      <c r="B4" s="3469"/>
      <c r="C4" s="3469"/>
      <c r="D4" s="3469"/>
      <c r="E4" s="3469"/>
      <c r="F4" s="3469"/>
      <c r="G4" s="3469"/>
      <c r="I4" s="3482"/>
      <c r="J4" s="3482"/>
      <c r="K4" s="3482"/>
      <c r="L4" s="3482"/>
      <c r="M4" s="3482"/>
      <c r="N4" s="3482"/>
      <c r="O4" s="3482"/>
      <c r="P4" s="3482"/>
    </row>
    <row r="5" spans="1:16" s="3468" customFormat="1">
      <c r="A5" s="3469" t="s">
        <v>2191</v>
      </c>
      <c r="B5" s="3469"/>
      <c r="C5" s="3469"/>
      <c r="D5" s="3469"/>
      <c r="E5" s="3469"/>
      <c r="F5" s="3469"/>
      <c r="G5" s="3469"/>
      <c r="I5" s="3482"/>
      <c r="J5" s="3482"/>
      <c r="K5" s="3482"/>
      <c r="L5" s="3482"/>
      <c r="M5" s="3482"/>
      <c r="N5" s="3482"/>
      <c r="O5" s="3482"/>
      <c r="P5" s="3482"/>
    </row>
    <row r="6" spans="1:16" s="3468" customFormat="1" ht="8.1" customHeight="1">
      <c r="A6" s="3469"/>
      <c r="B6" s="3469"/>
      <c r="C6" s="3469"/>
      <c r="D6" s="3469"/>
      <c r="E6" s="3469"/>
      <c r="F6" s="3469"/>
      <c r="G6" s="3469"/>
      <c r="I6" s="3482"/>
      <c r="J6" s="3482"/>
      <c r="K6" s="3482"/>
      <c r="L6" s="3482"/>
      <c r="M6" s="3482"/>
      <c r="N6" s="3482"/>
      <c r="O6" s="3482"/>
      <c r="P6" s="3482"/>
    </row>
    <row r="7" spans="1:16" s="3468" customFormat="1">
      <c r="A7" s="3469"/>
      <c r="B7" s="3475"/>
      <c r="C7" s="3469" t="s">
        <v>2192</v>
      </c>
      <c r="D7" s="3469"/>
      <c r="E7" s="3469"/>
      <c r="F7" s="3469"/>
      <c r="G7" s="3469"/>
      <c r="I7" s="3482"/>
      <c r="J7" s="3482"/>
      <c r="K7" s="3482"/>
      <c r="L7" s="3482"/>
      <c r="M7" s="3482"/>
      <c r="N7" s="3482"/>
      <c r="O7" s="3482"/>
      <c r="P7" s="3482"/>
    </row>
    <row r="8" spans="1:16" s="3468" customFormat="1">
      <c r="A8" s="3469"/>
      <c r="B8" s="3476"/>
      <c r="C8" s="3469" t="s">
        <v>2193</v>
      </c>
      <c r="D8" s="3469"/>
      <c r="E8" s="3469"/>
      <c r="F8" s="3469"/>
      <c r="G8" s="3469"/>
      <c r="I8" s="3482"/>
      <c r="J8" s="3482"/>
      <c r="K8" s="3482"/>
      <c r="L8" s="3482"/>
      <c r="M8" s="3482"/>
      <c r="N8" s="3482"/>
      <c r="O8" s="3482"/>
      <c r="P8" s="3482"/>
    </row>
    <row r="9" spans="1:16" s="3468" customFormat="1">
      <c r="A9" s="3469"/>
      <c r="B9" s="3477">
        <f>SUM(B7:B8)</f>
        <v>0</v>
      </c>
      <c r="C9" s="3469"/>
      <c r="D9" s="3469"/>
      <c r="E9" s="3469"/>
      <c r="F9" s="3469"/>
      <c r="G9" s="3469"/>
      <c r="I9" s="3482"/>
      <c r="J9" s="3482"/>
      <c r="K9" s="3482"/>
      <c r="L9" s="3482"/>
      <c r="M9" s="3482"/>
      <c r="N9" s="3482"/>
      <c r="O9" s="3482"/>
      <c r="P9" s="3482"/>
    </row>
    <row r="10" spans="1:16" s="3468" customFormat="1" ht="8.1" customHeight="1">
      <c r="A10" s="3469"/>
      <c r="B10" s="3469"/>
      <c r="C10" s="3469"/>
      <c r="D10" s="3469"/>
      <c r="E10" s="3469"/>
      <c r="F10" s="3469"/>
      <c r="G10" s="3469"/>
      <c r="I10" s="3482"/>
      <c r="J10" s="3482"/>
      <c r="K10" s="3482"/>
      <c r="L10" s="3482"/>
      <c r="M10" s="3482"/>
      <c r="N10" s="3482"/>
      <c r="O10" s="3482"/>
      <c r="P10" s="3482"/>
    </row>
    <row r="11" spans="1:16" s="3468" customFormat="1">
      <c r="A11" s="3469" t="s">
        <v>2194</v>
      </c>
      <c r="B11" s="3469"/>
      <c r="C11" s="3469"/>
      <c r="D11" s="3469"/>
      <c r="E11" s="3469"/>
      <c r="F11" s="3469"/>
      <c r="G11" s="3469"/>
      <c r="I11" s="3482"/>
      <c r="J11" s="3482"/>
      <c r="K11" s="3482"/>
      <c r="L11" s="3482"/>
      <c r="M11" s="3482"/>
      <c r="N11" s="3482"/>
      <c r="O11" s="3482"/>
      <c r="P11" s="3482"/>
    </row>
    <row r="12" spans="1:16" s="3468" customFormat="1">
      <c r="A12" s="3469" t="s">
        <v>2195</v>
      </c>
      <c r="B12" s="3469"/>
      <c r="C12" s="3469"/>
      <c r="D12" s="3469"/>
      <c r="E12" s="3469"/>
      <c r="F12" s="3469"/>
      <c r="G12" s="3469"/>
      <c r="I12" s="3482"/>
      <c r="J12" s="3482"/>
      <c r="K12" s="3482"/>
      <c r="L12" s="3482"/>
      <c r="M12" s="3482"/>
      <c r="N12" s="3482"/>
      <c r="O12" s="3482"/>
      <c r="P12" s="3482"/>
    </row>
    <row r="13" spans="1:16" s="3468" customFormat="1">
      <c r="A13" s="3469"/>
      <c r="B13" s="3469"/>
      <c r="C13" s="3469"/>
      <c r="D13" s="3469"/>
      <c r="E13" s="3469"/>
      <c r="F13" s="3469"/>
      <c r="G13" s="3469"/>
      <c r="I13" s="3482"/>
      <c r="J13" s="3482"/>
      <c r="K13" s="3482"/>
      <c r="L13" s="3482"/>
      <c r="M13" s="3482"/>
      <c r="N13" s="3482"/>
      <c r="O13" s="3482"/>
      <c r="P13" s="3482"/>
    </row>
    <row r="14" spans="1:16" s="3468" customFormat="1">
      <c r="A14" s="3470" t="s">
        <v>2196</v>
      </c>
      <c r="B14" s="3471" t="s">
        <v>2197</v>
      </c>
      <c r="C14" s="3472"/>
      <c r="D14" s="3472"/>
      <c r="E14" s="3472"/>
      <c r="F14" s="3472"/>
      <c r="G14" s="3473"/>
      <c r="I14" s="3482"/>
      <c r="J14" s="3482"/>
      <c r="K14" s="3482"/>
      <c r="L14" s="3482"/>
      <c r="M14" s="3482"/>
      <c r="N14" s="3482"/>
      <c r="O14" s="3482"/>
      <c r="P14" s="3482"/>
    </row>
    <row r="15" spans="1:16" s="3468" customFormat="1" ht="15" customHeight="1">
      <c r="A15" s="3469"/>
      <c r="B15" s="3469"/>
      <c r="C15" s="3469"/>
      <c r="D15" s="3469"/>
      <c r="E15" s="3469"/>
      <c r="F15" s="3469"/>
      <c r="G15" s="3469"/>
      <c r="I15" s="3482"/>
      <c r="J15" s="3482"/>
      <c r="K15" s="3482"/>
      <c r="L15" s="3482"/>
      <c r="M15" s="3482"/>
      <c r="N15" s="3482"/>
      <c r="O15" s="3482"/>
      <c r="P15" s="3482"/>
    </row>
    <row r="16" spans="1:16" s="3468" customFormat="1">
      <c r="A16" s="3469" t="s">
        <v>2198</v>
      </c>
      <c r="B16" s="3469"/>
      <c r="C16" s="3469"/>
      <c r="D16" s="3469"/>
      <c r="E16" s="3469"/>
      <c r="F16" s="3469"/>
      <c r="G16" s="3469"/>
      <c r="I16" s="3482"/>
      <c r="J16" s="3482"/>
      <c r="K16" s="3482"/>
      <c r="L16" s="3482"/>
      <c r="M16" s="3482"/>
      <c r="N16" s="3482"/>
      <c r="O16" s="3482"/>
      <c r="P16" s="3482"/>
    </row>
    <row r="17" spans="1:16" s="3468" customFormat="1">
      <c r="A17" s="3469" t="s">
        <v>2199</v>
      </c>
      <c r="B17" s="3469"/>
      <c r="C17" s="3469"/>
      <c r="D17" s="3469"/>
      <c r="E17" s="3469"/>
      <c r="F17" s="3469"/>
      <c r="G17" s="3469"/>
      <c r="I17" s="3482"/>
      <c r="J17" s="3482"/>
      <c r="K17" s="3482"/>
      <c r="L17" s="3482"/>
      <c r="M17" s="3482"/>
      <c r="N17" s="3482"/>
      <c r="O17" s="3482"/>
      <c r="P17" s="3482"/>
    </row>
    <row r="18" spans="1:16" s="3468" customFormat="1">
      <c r="A18" s="3469" t="s">
        <v>2200</v>
      </c>
      <c r="B18" s="3469"/>
      <c r="C18" s="3469"/>
      <c r="D18" s="3469"/>
      <c r="E18" s="3469"/>
      <c r="F18" s="3469"/>
      <c r="G18" s="3469"/>
      <c r="I18" s="3482"/>
      <c r="J18" s="3482"/>
      <c r="K18" s="3482"/>
      <c r="L18" s="3482"/>
      <c r="M18" s="3482"/>
      <c r="N18" s="3482"/>
      <c r="O18" s="3482"/>
      <c r="P18" s="3482"/>
    </row>
    <row r="19" spans="1:16" s="3468" customFormat="1" ht="8.1" customHeight="1">
      <c r="A19" s="3469"/>
      <c r="B19" s="3469"/>
      <c r="C19" s="3469"/>
      <c r="D19" s="3469"/>
      <c r="E19" s="3469"/>
      <c r="F19" s="3469"/>
      <c r="G19" s="3469"/>
      <c r="I19" s="3482"/>
      <c r="J19" s="3482"/>
      <c r="K19" s="3482"/>
      <c r="L19" s="3482"/>
      <c r="M19" s="3482"/>
      <c r="N19" s="3482"/>
      <c r="O19" s="3482"/>
      <c r="P19" s="3482"/>
    </row>
    <row r="20" spans="1:16" s="3468" customFormat="1">
      <c r="A20" s="3469" t="s">
        <v>2201</v>
      </c>
      <c r="B20" s="3469"/>
      <c r="C20" s="3469"/>
      <c r="D20" s="3469"/>
      <c r="E20" s="3469"/>
      <c r="F20" s="3469"/>
      <c r="G20" s="3469"/>
      <c r="I20" s="3482"/>
      <c r="J20" s="3482"/>
      <c r="K20" s="3482"/>
      <c r="L20" s="3482"/>
      <c r="M20" s="3482"/>
      <c r="N20" s="3482"/>
      <c r="O20" s="3482"/>
      <c r="P20" s="3482"/>
    </row>
    <row r="21" spans="1:16" s="3468" customFormat="1">
      <c r="A21" s="3469" t="s">
        <v>2202</v>
      </c>
      <c r="B21" s="3469"/>
      <c r="C21" s="3469"/>
      <c r="D21" s="3469"/>
      <c r="E21" s="3469"/>
      <c r="F21" s="3469"/>
      <c r="G21" s="3469"/>
      <c r="I21" s="3482"/>
      <c r="J21" s="3482"/>
      <c r="K21" s="3482"/>
      <c r="L21" s="3482"/>
      <c r="M21" s="3482"/>
      <c r="N21" s="3482"/>
      <c r="O21" s="3482"/>
      <c r="P21" s="3482"/>
    </row>
    <row r="22" spans="1:16" s="3468" customFormat="1">
      <c r="A22" s="3469" t="s">
        <v>2203</v>
      </c>
      <c r="B22" s="3469"/>
      <c r="C22" s="3469"/>
      <c r="D22" s="3469"/>
      <c r="E22" s="3469"/>
      <c r="F22" s="3469"/>
      <c r="G22" s="3469"/>
      <c r="I22" s="3482"/>
      <c r="J22" s="3482"/>
      <c r="K22" s="3482"/>
      <c r="L22" s="3482"/>
      <c r="M22" s="3482"/>
      <c r="N22" s="3482"/>
      <c r="O22" s="3482"/>
      <c r="P22" s="3482"/>
    </row>
    <row r="23" spans="1:16" s="3468" customFormat="1">
      <c r="A23" s="3469" t="s">
        <v>2204</v>
      </c>
      <c r="B23" s="3469"/>
      <c r="C23" s="3469"/>
      <c r="D23" s="3469"/>
      <c r="E23" s="3469"/>
      <c r="F23" s="3469"/>
      <c r="G23" s="3469"/>
      <c r="I23" s="3482"/>
      <c r="J23" s="3482"/>
      <c r="K23" s="3482"/>
      <c r="L23" s="3482"/>
      <c r="M23" s="3482"/>
      <c r="N23" s="3482"/>
      <c r="O23" s="3482"/>
      <c r="P23" s="3482"/>
    </row>
    <row r="24" spans="1:16" s="3468" customFormat="1" ht="8.1" customHeight="1">
      <c r="A24" s="3469"/>
      <c r="B24" s="3469"/>
      <c r="C24" s="3469"/>
      <c r="D24" s="3469"/>
      <c r="E24" s="3469"/>
      <c r="F24" s="3469"/>
      <c r="G24" s="3469"/>
      <c r="I24" s="3482"/>
      <c r="J24" s="3482"/>
      <c r="K24" s="3482"/>
      <c r="L24" s="3482"/>
      <c r="M24" s="3482"/>
      <c r="N24" s="3482"/>
      <c r="O24" s="3482"/>
      <c r="P24" s="3482"/>
    </row>
    <row r="25" spans="1:16" s="3468" customFormat="1">
      <c r="A25" s="3469" t="s">
        <v>2205</v>
      </c>
      <c r="B25" s="3469"/>
      <c r="C25" s="3469"/>
      <c r="D25" s="3469"/>
      <c r="E25" s="3469"/>
      <c r="F25" s="3469"/>
      <c r="G25" s="3469"/>
      <c r="I25" s="3482"/>
      <c r="J25" s="3482"/>
      <c r="K25" s="3482"/>
      <c r="L25" s="3482"/>
      <c r="M25" s="3482"/>
      <c r="N25" s="3482"/>
      <c r="O25" s="3482"/>
      <c r="P25" s="3482"/>
    </row>
    <row r="26" spans="1:16" s="3468" customFormat="1">
      <c r="A26" s="3469" t="s">
        <v>2206</v>
      </c>
      <c r="B26" s="3469"/>
      <c r="C26" s="3469"/>
      <c r="D26" s="3469"/>
      <c r="E26" s="3469"/>
      <c r="F26" s="3469"/>
      <c r="G26" s="3469"/>
      <c r="I26" s="3482"/>
      <c r="J26" s="3482"/>
      <c r="K26" s="3482"/>
      <c r="L26" s="3482"/>
      <c r="M26" s="3482"/>
      <c r="N26" s="3482"/>
      <c r="O26" s="3482"/>
      <c r="P26" s="3482"/>
    </row>
    <row r="27" spans="1:16" s="3468" customFormat="1" ht="8.1" customHeight="1">
      <c r="A27" s="3469"/>
      <c r="B27" s="3469"/>
      <c r="C27" s="3469"/>
      <c r="D27" s="3469"/>
      <c r="E27" s="3469"/>
      <c r="F27" s="3469"/>
      <c r="G27" s="3469"/>
      <c r="I27" s="3482"/>
      <c r="J27" s="3482"/>
      <c r="K27" s="3482"/>
      <c r="L27" s="3482"/>
      <c r="M27" s="3482"/>
      <c r="N27" s="3482"/>
      <c r="O27" s="3482"/>
      <c r="P27" s="3482"/>
    </row>
    <row r="28" spans="1:16" s="3468" customFormat="1">
      <c r="A28" s="3469" t="s">
        <v>2207</v>
      </c>
      <c r="B28" s="3469"/>
      <c r="C28" s="3469"/>
      <c r="D28" s="3469"/>
      <c r="E28" s="3469"/>
      <c r="F28" s="3469"/>
      <c r="G28" s="3469"/>
      <c r="I28" s="3482"/>
      <c r="J28" s="3482"/>
      <c r="K28" s="3482"/>
      <c r="L28" s="3482"/>
      <c r="M28" s="3482"/>
      <c r="N28" s="3482"/>
      <c r="O28" s="3482"/>
      <c r="P28" s="3482"/>
    </row>
    <row r="29" spans="1:16" s="3468" customFormat="1">
      <c r="A29" s="3469" t="s">
        <v>2208</v>
      </c>
      <c r="B29" s="3469"/>
      <c r="C29" s="3469"/>
      <c r="D29" s="3469"/>
      <c r="E29" s="3469"/>
      <c r="F29" s="3478" t="e">
        <f>E164</f>
        <v>#DIV/0!</v>
      </c>
      <c r="G29" s="3469" t="s">
        <v>2209</v>
      </c>
      <c r="I29" s="3482"/>
      <c r="J29" s="3482"/>
      <c r="K29" s="3482"/>
      <c r="L29" s="3482"/>
      <c r="M29" s="3482"/>
      <c r="N29" s="3482"/>
      <c r="O29" s="3482"/>
      <c r="P29" s="3482"/>
    </row>
    <row r="30" spans="1:16" s="3468" customFormat="1" ht="8.1" customHeight="1">
      <c r="A30" s="3469"/>
      <c r="B30" s="3469"/>
      <c r="C30" s="3469"/>
      <c r="D30" s="3469"/>
      <c r="E30" s="3469"/>
      <c r="F30" s="3469"/>
      <c r="G30" s="3469"/>
      <c r="I30" s="3482"/>
      <c r="J30" s="3482"/>
      <c r="K30" s="3482"/>
      <c r="L30" s="3482"/>
      <c r="M30" s="3482"/>
      <c r="N30" s="3482"/>
      <c r="O30" s="3482"/>
      <c r="P30" s="3482"/>
    </row>
    <row r="31" spans="1:16" s="3468" customFormat="1">
      <c r="A31" s="3469" t="s">
        <v>2210</v>
      </c>
      <c r="B31" s="3469"/>
      <c r="C31" s="3469"/>
      <c r="D31" s="3469"/>
      <c r="E31" s="3469"/>
      <c r="F31" s="3469"/>
      <c r="G31" s="3469"/>
      <c r="I31" s="3482"/>
      <c r="J31" s="3482"/>
      <c r="K31" s="3482"/>
      <c r="L31" s="3482"/>
      <c r="M31" s="3482"/>
      <c r="N31" s="3482"/>
      <c r="O31" s="3482"/>
      <c r="P31" s="3482"/>
    </row>
    <row r="32" spans="1:16" s="3468" customFormat="1" ht="8.1" customHeight="1">
      <c r="A32" s="3469"/>
      <c r="B32" s="3469"/>
      <c r="C32" s="3469"/>
      <c r="D32" s="3469"/>
      <c r="E32" s="3469"/>
      <c r="F32" s="3469"/>
      <c r="G32" s="3469"/>
      <c r="I32" s="3482"/>
      <c r="J32" s="3482"/>
      <c r="K32" s="3482"/>
      <c r="L32" s="3482"/>
      <c r="M32" s="3482"/>
      <c r="N32" s="3482"/>
      <c r="O32" s="3482"/>
      <c r="P32" s="3482"/>
    </row>
    <row r="33" spans="1:16" s="3468" customFormat="1">
      <c r="A33" s="3469"/>
      <c r="B33" s="3479" t="e">
        <f>F29</f>
        <v>#DIV/0!</v>
      </c>
      <c r="C33" s="3469" t="s">
        <v>2192</v>
      </c>
      <c r="D33" s="3469"/>
      <c r="E33" s="3469"/>
      <c r="F33" s="3469"/>
      <c r="G33" s="3469"/>
      <c r="I33" s="3482"/>
      <c r="J33" s="3482"/>
      <c r="K33" s="3482"/>
      <c r="L33" s="3482"/>
      <c r="M33" s="3482"/>
      <c r="N33" s="3482"/>
      <c r="O33" s="3482"/>
      <c r="P33" s="3482"/>
    </row>
    <row r="34" spans="1:16" s="3468" customFormat="1">
      <c r="A34" s="3469"/>
      <c r="B34" s="3480">
        <f>B8</f>
        <v>0</v>
      </c>
      <c r="C34" s="3469" t="s">
        <v>2193</v>
      </c>
      <c r="D34" s="3469"/>
      <c r="E34" s="3469"/>
      <c r="F34" s="3469"/>
      <c r="G34" s="3469"/>
      <c r="I34" s="3482"/>
      <c r="J34" s="3482"/>
      <c r="K34" s="3482"/>
      <c r="L34" s="3482"/>
      <c r="M34" s="3482"/>
      <c r="N34" s="3482"/>
      <c r="O34" s="3482"/>
      <c r="P34" s="3482"/>
    </row>
    <row r="35" spans="1:16" s="3468" customFormat="1">
      <c r="A35" s="3469"/>
      <c r="B35" s="3477" t="e">
        <f>SUM(B33:B34)</f>
        <v>#DIV/0!</v>
      </c>
      <c r="C35" s="3469"/>
      <c r="D35" s="3469"/>
      <c r="E35" s="3469"/>
      <c r="F35" s="3469"/>
      <c r="G35" s="3469"/>
      <c r="I35" s="3482"/>
      <c r="J35" s="3482"/>
      <c r="K35" s="3482"/>
      <c r="L35" s="3482"/>
      <c r="M35" s="3482"/>
      <c r="N35" s="3482"/>
      <c r="O35" s="3482"/>
      <c r="P35" s="3482"/>
    </row>
    <row r="36" spans="1:16" s="3468" customFormat="1">
      <c r="A36" s="3469"/>
      <c r="B36" s="3481"/>
      <c r="C36" s="3469"/>
      <c r="D36" s="3469"/>
      <c r="E36" s="3469"/>
      <c r="F36" s="3469"/>
      <c r="G36" s="3469"/>
      <c r="I36" s="3482"/>
      <c r="J36" s="3482"/>
      <c r="K36" s="3482"/>
      <c r="L36" s="3482"/>
      <c r="M36" s="3482"/>
      <c r="N36" s="3482"/>
      <c r="O36" s="3482"/>
      <c r="P36" s="3482"/>
    </row>
    <row r="37" spans="1:16" s="3468" customFormat="1">
      <c r="A37" s="3470" t="s">
        <v>2211</v>
      </c>
      <c r="B37" s="3471" t="s">
        <v>2212</v>
      </c>
      <c r="C37" s="3472"/>
      <c r="D37" s="3472"/>
      <c r="E37" s="3472"/>
      <c r="F37" s="3472"/>
      <c r="G37" s="3473"/>
      <c r="I37" s="3482"/>
      <c r="J37" s="3482"/>
      <c r="K37" s="3482"/>
      <c r="L37" s="3482"/>
      <c r="M37" s="3482"/>
      <c r="N37" s="3482"/>
      <c r="O37" s="3482"/>
      <c r="P37" s="3482"/>
    </row>
    <row r="38" spans="1:16" s="3468" customFormat="1" ht="15" customHeight="1">
      <c r="A38" s="3469"/>
      <c r="B38" s="3481"/>
      <c r="C38" s="3469"/>
      <c r="D38" s="3469"/>
      <c r="E38" s="3469"/>
      <c r="F38" s="3469"/>
      <c r="G38" s="3469"/>
      <c r="I38" s="3482"/>
      <c r="J38" s="3482"/>
      <c r="K38" s="3482"/>
      <c r="L38" s="3482"/>
      <c r="M38" s="3482"/>
      <c r="N38" s="3482"/>
      <c r="O38" s="3482"/>
      <c r="P38" s="3482"/>
    </row>
    <row r="39" spans="1:16" s="3468" customFormat="1">
      <c r="A39" s="3469" t="s">
        <v>2213</v>
      </c>
      <c r="B39" s="3481"/>
      <c r="C39" s="3469"/>
      <c r="D39" s="3469"/>
      <c r="E39" s="3469"/>
      <c r="F39" s="3469"/>
      <c r="G39" s="3469"/>
      <c r="I39" s="3482"/>
      <c r="J39" s="3482"/>
      <c r="K39" s="3482"/>
      <c r="L39" s="3482"/>
      <c r="M39" s="3482"/>
      <c r="N39" s="3482"/>
      <c r="O39" s="3482"/>
      <c r="P39" s="3482"/>
    </row>
    <row r="40" spans="1:16" s="3468" customFormat="1">
      <c r="A40" s="3469" t="s">
        <v>2214</v>
      </c>
      <c r="B40" s="3481"/>
      <c r="C40" s="3482"/>
      <c r="D40" s="3482"/>
      <c r="E40" s="3482"/>
      <c r="F40" s="3477" t="e">
        <f>MAX(B9,B35)</f>
        <v>#DIV/0!</v>
      </c>
      <c r="G40" s="3483"/>
      <c r="I40" s="3482"/>
      <c r="J40" s="3482"/>
      <c r="K40" s="3482"/>
      <c r="L40" s="3482"/>
      <c r="M40" s="3482"/>
      <c r="N40" s="3482"/>
      <c r="O40" s="3482"/>
      <c r="P40" s="3482"/>
    </row>
    <row r="41" spans="1:16" s="3468" customFormat="1">
      <c r="A41" s="3469"/>
      <c r="B41" s="3481"/>
      <c r="C41" s="3469"/>
      <c r="D41" s="3469"/>
      <c r="E41" s="3469"/>
      <c r="F41" s="3469"/>
      <c r="G41" s="3469"/>
      <c r="I41" s="3482"/>
      <c r="J41" s="3482"/>
      <c r="K41" s="3482"/>
      <c r="L41" s="3482"/>
      <c r="M41" s="3482"/>
      <c r="N41" s="3482"/>
      <c r="O41" s="3482"/>
      <c r="P41" s="3482"/>
    </row>
    <row r="42" spans="1:16" s="3468" customFormat="1">
      <c r="A42" s="3470" t="s">
        <v>2215</v>
      </c>
      <c r="B42" s="3471" t="s">
        <v>2216</v>
      </c>
      <c r="C42" s="3472"/>
      <c r="D42" s="3472"/>
      <c r="E42" s="3472"/>
      <c r="F42" s="3472"/>
      <c r="G42" s="3473"/>
      <c r="I42" s="3482"/>
      <c r="J42" s="3482"/>
      <c r="K42" s="3482"/>
      <c r="L42" s="3482"/>
      <c r="M42" s="3482"/>
      <c r="N42" s="3482"/>
      <c r="O42" s="3482"/>
      <c r="P42" s="3482"/>
    </row>
    <row r="43" spans="1:16" s="3468" customFormat="1" ht="15" customHeight="1">
      <c r="A43" s="3469"/>
      <c r="B43" s="3481"/>
      <c r="C43" s="3469"/>
      <c r="D43" s="3469"/>
      <c r="E43" s="3469"/>
      <c r="F43" s="3469"/>
      <c r="G43" s="3469"/>
      <c r="I43" s="3482"/>
      <c r="J43" s="3482"/>
      <c r="K43" s="3482"/>
      <c r="L43" s="3482"/>
      <c r="M43" s="3482"/>
      <c r="N43" s="3482"/>
      <c r="O43" s="3482"/>
      <c r="P43" s="3482"/>
    </row>
    <row r="44" spans="1:16" s="3468" customFormat="1" ht="15" customHeight="1">
      <c r="A44" s="3469" t="s">
        <v>2217</v>
      </c>
      <c r="B44" s="3481"/>
      <c r="C44" s="3469"/>
      <c r="D44" s="3469"/>
      <c r="E44" s="3469"/>
      <c r="F44" s="3469"/>
      <c r="G44" s="3469"/>
      <c r="I44" s="3482"/>
      <c r="J44" s="3482"/>
      <c r="K44" s="3482"/>
      <c r="L44" s="3482"/>
      <c r="M44" s="3482"/>
      <c r="N44" s="3482"/>
      <c r="O44" s="3482"/>
      <c r="P44" s="3482"/>
    </row>
    <row r="45" spans="1:16" s="3468" customFormat="1">
      <c r="A45" s="3469" t="s">
        <v>2218</v>
      </c>
      <c r="B45" s="3481"/>
      <c r="C45" s="3469"/>
      <c r="D45" s="3469"/>
      <c r="E45" s="3469"/>
      <c r="F45" s="3469"/>
      <c r="G45" s="3469"/>
      <c r="I45" s="3482"/>
      <c r="J45" s="3482"/>
      <c r="K45" s="3482"/>
      <c r="L45" s="3482"/>
      <c r="M45" s="3482"/>
      <c r="N45" s="3482"/>
      <c r="O45" s="3482"/>
      <c r="P45" s="3482"/>
    </row>
    <row r="46" spans="1:16" s="3468" customFormat="1">
      <c r="A46" s="3469" t="s">
        <v>2219</v>
      </c>
      <c r="B46" s="3481"/>
      <c r="C46" s="3469"/>
      <c r="D46" s="3469"/>
      <c r="E46" s="3469"/>
      <c r="F46" s="3469"/>
      <c r="G46" s="3469"/>
      <c r="I46" s="3482"/>
      <c r="J46" s="3482"/>
      <c r="K46" s="3482"/>
      <c r="L46" s="3482"/>
      <c r="M46" s="3482"/>
      <c r="N46" s="3482"/>
      <c r="O46" s="3482"/>
      <c r="P46" s="3482"/>
    </row>
    <row r="47" spans="1:16" s="3468" customFormat="1">
      <c r="A47" s="3469" t="s">
        <v>2220</v>
      </c>
      <c r="B47" s="3481"/>
      <c r="C47" s="3469"/>
      <c r="D47" s="3469"/>
      <c r="E47" s="3469"/>
      <c r="F47" s="3469"/>
      <c r="G47" s="3469"/>
      <c r="I47" s="3482"/>
      <c r="J47" s="3482"/>
      <c r="K47" s="3482"/>
      <c r="L47" s="3482"/>
      <c r="M47" s="3482"/>
      <c r="N47" s="3482"/>
      <c r="O47" s="3482"/>
      <c r="P47" s="3482"/>
    </row>
    <row r="48" spans="1:16" s="3468" customFormat="1" ht="8.1" customHeight="1">
      <c r="A48" s="3469"/>
      <c r="B48" s="3481"/>
      <c r="C48" s="3469"/>
      <c r="D48" s="3469"/>
      <c r="E48" s="3469"/>
      <c r="F48" s="3469"/>
      <c r="G48" s="3469"/>
      <c r="I48" s="3482"/>
      <c r="J48" s="3482"/>
      <c r="K48" s="3482"/>
      <c r="L48" s="3482"/>
      <c r="M48" s="3482"/>
      <c r="N48" s="3482"/>
      <c r="O48" s="3482"/>
      <c r="P48" s="3482"/>
    </row>
    <row r="49" spans="1:16" s="3468" customFormat="1">
      <c r="A49" s="3469"/>
      <c r="B49" s="3477" t="e">
        <f>F40</f>
        <v>#DIV/0!</v>
      </c>
      <c r="C49" s="3469" t="s">
        <v>2221</v>
      </c>
      <c r="D49" s="3469"/>
      <c r="E49" s="3469"/>
      <c r="F49" s="3469"/>
      <c r="G49" s="3469"/>
      <c r="I49" s="3482"/>
      <c r="J49" s="3482"/>
      <c r="K49" s="3482"/>
      <c r="L49" s="3482"/>
      <c r="M49" s="3482"/>
      <c r="N49" s="3482"/>
      <c r="O49" s="3482"/>
      <c r="P49" s="3482"/>
    </row>
    <row r="50" spans="1:16" s="3468" customFormat="1">
      <c r="A50" s="3469"/>
      <c r="B50" s="3477">
        <f>'Überleitung 113c'!D65</f>
        <v>0</v>
      </c>
      <c r="C50" s="3469" t="s">
        <v>2051</v>
      </c>
      <c r="D50" s="3469"/>
      <c r="E50" s="3469"/>
      <c r="F50" s="3469"/>
      <c r="G50" s="3469"/>
      <c r="I50" s="3482"/>
      <c r="J50" s="3482"/>
      <c r="K50" s="3482"/>
      <c r="L50" s="3482"/>
      <c r="M50" s="3482"/>
      <c r="N50" s="3482"/>
      <c r="O50" s="3482"/>
      <c r="P50" s="3482"/>
    </row>
    <row r="51" spans="1:16" s="3468" customFormat="1">
      <c r="A51" s="3469"/>
      <c r="B51" s="3480">
        <f>'Überleitung 113c'!D66</f>
        <v>0</v>
      </c>
      <c r="C51" s="3469" t="s">
        <v>2052</v>
      </c>
      <c r="D51" s="3469"/>
      <c r="E51" s="3469"/>
      <c r="F51" s="3469"/>
      <c r="G51" s="3469"/>
      <c r="I51" s="3482"/>
      <c r="J51" s="3482"/>
      <c r="K51" s="3482"/>
      <c r="L51" s="3482"/>
      <c r="M51" s="3482"/>
      <c r="N51" s="3482"/>
      <c r="O51" s="3482"/>
      <c r="P51" s="3482"/>
    </row>
    <row r="52" spans="1:16" s="3468" customFormat="1">
      <c r="A52" s="3469"/>
      <c r="B52" s="3477" t="e">
        <f>SUM(B49:B51)</f>
        <v>#DIV/0!</v>
      </c>
      <c r="C52" s="3469"/>
      <c r="D52" s="3469"/>
      <c r="E52" s="3469"/>
      <c r="F52" s="3469"/>
      <c r="G52" s="3469"/>
      <c r="I52" s="3482"/>
      <c r="J52" s="3482"/>
      <c r="K52" s="3482"/>
      <c r="L52" s="3482"/>
      <c r="M52" s="3482"/>
      <c r="N52" s="3482"/>
      <c r="O52" s="3482"/>
      <c r="P52" s="3482"/>
    </row>
    <row r="53" spans="1:16" s="3468" customFormat="1">
      <c r="A53" s="3469"/>
      <c r="B53" s="3477"/>
      <c r="C53" s="3469"/>
      <c r="D53" s="3469"/>
      <c r="E53" s="3469"/>
      <c r="F53" s="3469"/>
      <c r="G53" s="3469"/>
      <c r="I53" s="3482"/>
      <c r="J53" s="3482"/>
      <c r="K53" s="3482"/>
      <c r="L53" s="3482"/>
      <c r="M53" s="3482"/>
      <c r="N53" s="3482"/>
      <c r="O53" s="3482"/>
      <c r="P53" s="3482"/>
    </row>
    <row r="54" spans="1:16" s="3468" customFormat="1">
      <c r="A54" s="4242" t="e">
        <f>B52</f>
        <v>#DIV/0!</v>
      </c>
      <c r="B54" s="4242"/>
      <c r="C54" s="4242"/>
      <c r="D54" s="4242"/>
      <c r="E54" s="4242"/>
      <c r="F54" s="4242"/>
      <c r="G54" s="4242"/>
      <c r="I54" s="3482"/>
      <c r="J54" s="3482"/>
      <c r="K54" s="3482"/>
      <c r="L54" s="3482"/>
      <c r="M54" s="3482"/>
      <c r="N54" s="3482"/>
      <c r="O54" s="3482"/>
      <c r="P54" s="3482"/>
    </row>
    <row r="55" spans="1:16" s="3468" customFormat="1">
      <c r="A55" s="3484" t="s">
        <v>2222</v>
      </c>
      <c r="B55" s="3484"/>
      <c r="C55" s="3484"/>
      <c r="D55" s="3484"/>
      <c r="E55" s="3484"/>
      <c r="F55" s="3484"/>
      <c r="G55" s="3484"/>
      <c r="I55" s="3482"/>
      <c r="J55" s="3482"/>
      <c r="K55" s="3482"/>
      <c r="L55" s="3482"/>
      <c r="M55" s="3482"/>
      <c r="N55" s="3482"/>
      <c r="O55" s="3482"/>
      <c r="P55" s="3482"/>
    </row>
    <row r="56" spans="1:16" s="3468" customFormat="1">
      <c r="A56" s="3484" t="s">
        <v>2223</v>
      </c>
      <c r="B56" s="3484"/>
      <c r="C56" s="3484"/>
      <c r="D56" s="3484"/>
      <c r="E56" s="3484"/>
      <c r="F56" s="3484"/>
      <c r="G56" s="3484"/>
      <c r="I56" s="3482"/>
      <c r="J56" s="3482"/>
      <c r="K56" s="3482"/>
      <c r="L56" s="3482"/>
      <c r="M56" s="3482"/>
      <c r="N56" s="3482"/>
      <c r="O56" s="3482"/>
      <c r="P56" s="3482"/>
    </row>
    <row r="57" spans="1:16">
      <c r="A57" s="3469"/>
      <c r="B57" s="3477"/>
      <c r="C57" s="3469"/>
      <c r="D57" s="3469"/>
      <c r="E57" s="3469"/>
      <c r="F57" s="3469"/>
      <c r="G57" s="3469"/>
    </row>
    <row r="58" spans="1:16">
      <c r="A58" s="3470" t="s">
        <v>2259</v>
      </c>
      <c r="B58" s="3485" t="s">
        <v>2229</v>
      </c>
      <c r="C58" s="3472"/>
      <c r="D58" s="3472"/>
      <c r="E58" s="3472"/>
      <c r="F58" s="3472"/>
      <c r="G58" s="3473"/>
      <c r="I58" s="3486" t="s">
        <v>2224</v>
      </c>
      <c r="J58" s="3487"/>
      <c r="K58" s="3487"/>
      <c r="L58" s="3487"/>
      <c r="M58" s="3487"/>
      <c r="N58" s="3487"/>
      <c r="O58" s="3487"/>
      <c r="P58" s="3488"/>
    </row>
    <row r="59" spans="1:16">
      <c r="A59" s="3469"/>
      <c r="B59" s="3477"/>
      <c r="C59" s="3469"/>
      <c r="D59" s="3469"/>
      <c r="E59" s="3469"/>
      <c r="F59" s="3469"/>
      <c r="G59" s="3469"/>
      <c r="I59" s="3489"/>
      <c r="J59" s="3468"/>
      <c r="K59" s="3468"/>
      <c r="L59" s="3468"/>
      <c r="M59" s="3468"/>
      <c r="N59" s="3468"/>
      <c r="O59" s="3468"/>
      <c r="P59" s="3490"/>
    </row>
    <row r="60" spans="1:16">
      <c r="A60" s="3469" t="s">
        <v>2234</v>
      </c>
      <c r="B60" s="3477"/>
      <c r="C60" s="3469"/>
      <c r="D60" s="3469"/>
      <c r="E60" s="3469"/>
      <c r="F60" s="3469"/>
      <c r="G60" s="3478" t="e">
        <f>B52</f>
        <v>#DIV/0!</v>
      </c>
      <c r="I60" s="3489" t="s">
        <v>2225</v>
      </c>
      <c r="J60" s="3468" t="s">
        <v>2226</v>
      </c>
      <c r="K60" s="3468"/>
      <c r="L60" s="3468"/>
      <c r="M60" s="3468"/>
      <c r="N60" s="3468"/>
      <c r="O60" s="3468"/>
      <c r="P60" s="3490"/>
    </row>
    <row r="61" spans="1:16">
      <c r="A61" s="3469" t="s">
        <v>2235</v>
      </c>
      <c r="B61" s="3477"/>
      <c r="C61" s="3469"/>
      <c r="D61" s="3469"/>
      <c r="E61" s="3469"/>
      <c r="F61" s="3469"/>
      <c r="G61" s="3491"/>
      <c r="I61" s="3489" t="s">
        <v>2227</v>
      </c>
      <c r="J61" s="3468" t="s">
        <v>2228</v>
      </c>
      <c r="K61" s="3468"/>
      <c r="L61" s="3468"/>
      <c r="M61" s="3468"/>
      <c r="N61" s="3468"/>
      <c r="O61" s="3468"/>
      <c r="P61" s="3490"/>
    </row>
    <row r="62" spans="1:16">
      <c r="A62" s="3469"/>
      <c r="B62" s="3477"/>
      <c r="C62" s="3469"/>
      <c r="D62" s="3469"/>
      <c r="E62" s="3469"/>
      <c r="F62" s="3469"/>
      <c r="G62" s="3492"/>
      <c r="I62" s="3489" t="s">
        <v>2230</v>
      </c>
      <c r="J62" s="3468" t="s">
        <v>2231</v>
      </c>
      <c r="K62" s="3468"/>
      <c r="L62" s="3468"/>
      <c r="M62" s="3468"/>
      <c r="N62" s="3468"/>
      <c r="O62" s="3468"/>
      <c r="P62" s="3490"/>
    </row>
    <row r="63" spans="1:16">
      <c r="A63" s="3493" t="s">
        <v>2236</v>
      </c>
      <c r="B63" s="3477"/>
      <c r="C63" s="3469"/>
      <c r="D63" s="3469"/>
      <c r="E63" s="3469"/>
      <c r="F63" s="3469"/>
      <c r="G63" s="3469"/>
      <c r="I63" s="3489" t="s">
        <v>2232</v>
      </c>
      <c r="J63" s="3468" t="s">
        <v>2233</v>
      </c>
      <c r="K63" s="3468"/>
      <c r="L63" s="3468"/>
      <c r="M63" s="3468"/>
      <c r="N63" s="3468"/>
      <c r="O63" s="3468"/>
      <c r="P63" s="3490"/>
    </row>
    <row r="64" spans="1:16">
      <c r="A64" s="3469"/>
      <c r="B64" s="3477"/>
      <c r="C64" s="3469"/>
      <c r="D64" s="3469"/>
      <c r="E64" s="3469"/>
      <c r="F64" s="3469"/>
      <c r="G64" s="3469"/>
      <c r="I64" s="3489"/>
      <c r="J64" s="3468"/>
      <c r="K64" s="3468"/>
      <c r="L64" s="3468"/>
      <c r="M64" s="3468"/>
      <c r="N64" s="3468"/>
      <c r="O64" s="3468"/>
      <c r="P64" s="3490"/>
    </row>
    <row r="65" spans="1:16">
      <c r="A65" s="3470" t="s">
        <v>2260</v>
      </c>
      <c r="B65" s="3485" t="s">
        <v>2237</v>
      </c>
      <c r="C65" s="3472"/>
      <c r="D65" s="3472"/>
      <c r="E65" s="3472"/>
      <c r="F65" s="3472"/>
      <c r="G65" s="3473"/>
      <c r="I65" s="3489"/>
      <c r="J65" s="3468"/>
      <c r="K65" s="3468"/>
      <c r="L65" s="3468"/>
      <c r="M65" s="3468"/>
      <c r="N65" s="3468"/>
      <c r="O65" s="3468"/>
      <c r="P65" s="3490"/>
    </row>
    <row r="66" spans="1:16">
      <c r="A66" s="3469"/>
      <c r="B66" s="3477"/>
      <c r="C66" s="3469"/>
      <c r="D66" s="3469"/>
      <c r="E66" s="3469"/>
      <c r="F66" s="3469"/>
      <c r="G66" s="3469"/>
      <c r="I66" s="3489"/>
      <c r="J66" s="3468"/>
      <c r="K66" s="3468"/>
      <c r="L66" s="3468"/>
      <c r="M66" s="3468"/>
      <c r="N66" s="3468"/>
      <c r="O66" s="3468"/>
      <c r="P66" s="3490"/>
    </row>
    <row r="67" spans="1:16" s="3495" customFormat="1">
      <c r="A67" s="3494" t="s">
        <v>2238</v>
      </c>
      <c r="G67" s="3496" t="e">
        <f>'Überleitung 113c'!G116</f>
        <v>#DIV/0!</v>
      </c>
      <c r="H67" s="3497"/>
      <c r="I67" s="3489"/>
      <c r="J67" s="3468"/>
      <c r="K67" s="3468"/>
      <c r="L67" s="3468"/>
      <c r="M67" s="3468"/>
      <c r="N67" s="3468"/>
      <c r="O67" s="3468"/>
      <c r="P67" s="3490"/>
    </row>
    <row r="68" spans="1:16" s="3495" customFormat="1">
      <c r="A68" s="3494" t="s">
        <v>2239</v>
      </c>
      <c r="D68" s="3500" t="e">
        <f>'Überleitung 113c'!F94</f>
        <v>#DIV/0!</v>
      </c>
      <c r="G68" s="3501"/>
      <c r="H68" s="3497"/>
      <c r="I68" s="3489"/>
      <c r="J68" s="3468"/>
      <c r="K68" s="3468"/>
      <c r="L68" s="3468"/>
      <c r="M68" s="3468"/>
      <c r="N68" s="3468"/>
      <c r="O68" s="3468"/>
      <c r="P68" s="3490"/>
    </row>
    <row r="69" spans="1:16">
      <c r="A69" s="3469"/>
      <c r="D69" s="3502"/>
      <c r="G69" s="3503"/>
      <c r="I69" s="3489"/>
      <c r="J69" s="3468"/>
      <c r="K69" s="3468"/>
      <c r="L69" s="3468"/>
      <c r="M69" s="3468"/>
      <c r="N69" s="3468"/>
      <c r="O69" s="3468"/>
      <c r="P69" s="3490"/>
    </row>
    <row r="70" spans="1:16">
      <c r="A70" s="3469" t="s">
        <v>2241</v>
      </c>
      <c r="G70" s="3505"/>
      <c r="I70" s="3489"/>
      <c r="J70" s="3468"/>
      <c r="K70" s="3468"/>
      <c r="L70" s="3468"/>
      <c r="M70" s="3468"/>
      <c r="N70" s="3468"/>
      <c r="O70" s="3468"/>
      <c r="P70" s="3490"/>
    </row>
    <row r="71" spans="1:16">
      <c r="A71" s="3469"/>
      <c r="G71" s="3505"/>
      <c r="I71" s="3498"/>
      <c r="J71" s="3497"/>
      <c r="K71" s="3497"/>
      <c r="L71" s="3497"/>
      <c r="M71" s="3497"/>
      <c r="N71" s="3497"/>
      <c r="O71" s="3497"/>
      <c r="P71" s="3499"/>
    </row>
    <row r="72" spans="1:16">
      <c r="A72" s="3469"/>
      <c r="B72" s="3469" t="s">
        <v>2244</v>
      </c>
      <c r="C72" s="3469"/>
      <c r="D72" s="3475" t="e">
        <f>Personalkosten!G16/Personalkosten!$G$24*'Überleitung 113c_Prüfung'!$G$67</f>
        <v>#VALUE!</v>
      </c>
      <c r="F72" s="3507" t="s">
        <v>2245</v>
      </c>
      <c r="G72" s="3508">
        <f>'Überleitung 113c'!G138</f>
        <v>0</v>
      </c>
      <c r="I72" s="3498"/>
      <c r="J72" s="3497"/>
      <c r="K72" s="3497"/>
      <c r="L72" s="3497"/>
      <c r="M72" s="3497"/>
      <c r="N72" s="3497"/>
      <c r="O72" s="3497"/>
      <c r="P72" s="3499"/>
    </row>
    <row r="73" spans="1:16">
      <c r="A73" s="3469"/>
      <c r="B73" s="3469" t="s">
        <v>2246</v>
      </c>
      <c r="C73" s="3469"/>
      <c r="D73" s="3475" t="e">
        <f>Personalkosten!#REF!/Personalkosten!$G$24*'Überleitung 113c_Prüfung'!$G$67</f>
        <v>#REF!</v>
      </c>
      <c r="G73" s="3505"/>
      <c r="I73" s="3489"/>
      <c r="J73" s="3504" t="s">
        <v>2240</v>
      </c>
      <c r="K73" s="3468"/>
      <c r="L73" s="3468"/>
      <c r="M73" s="3468"/>
      <c r="N73" s="3468"/>
      <c r="O73" s="3468"/>
      <c r="P73" s="3490"/>
    </row>
    <row r="74" spans="1:16">
      <c r="A74" s="3469"/>
      <c r="B74" s="3469" t="s">
        <v>2249</v>
      </c>
      <c r="C74" s="3469"/>
      <c r="D74" s="3476" t="e">
        <f>Personalkosten!#REF!/Personalkosten!$G$24*'Überleitung 113c_Prüfung'!$G$67</f>
        <v>#REF!</v>
      </c>
      <c r="I74" s="3489"/>
      <c r="J74" s="3506" t="s">
        <v>2242</v>
      </c>
      <c r="K74" s="3468"/>
      <c r="L74" s="3468"/>
      <c r="M74" s="3468"/>
      <c r="N74" s="3468"/>
      <c r="O74" s="3468"/>
      <c r="P74" s="3490"/>
    </row>
    <row r="75" spans="1:16">
      <c r="A75" s="3469"/>
      <c r="B75" s="3469"/>
      <c r="C75" s="3469"/>
      <c r="D75" s="3477" t="e">
        <f>SUM(D72:D74)</f>
        <v>#VALUE!</v>
      </c>
      <c r="I75" s="3489"/>
      <c r="J75" s="3506" t="s">
        <v>2243</v>
      </c>
      <c r="K75" s="3468"/>
      <c r="L75" s="3468"/>
      <c r="M75" s="3468"/>
      <c r="N75" s="3468"/>
      <c r="O75" s="3468"/>
      <c r="P75" s="3490"/>
    </row>
    <row r="76" spans="1:16">
      <c r="A76" s="3469"/>
      <c r="B76" s="3469"/>
      <c r="C76" s="3469"/>
      <c r="D76" s="3477"/>
      <c r="I76" s="3489"/>
      <c r="K76" s="3468"/>
      <c r="L76" s="3468"/>
      <c r="M76" s="3468"/>
      <c r="N76" s="3468"/>
      <c r="O76" s="3468"/>
      <c r="P76" s="3490"/>
    </row>
    <row r="77" spans="1:16">
      <c r="A77" s="3474" t="s">
        <v>2252</v>
      </c>
      <c r="B77" s="3469"/>
      <c r="C77" s="3469"/>
      <c r="D77" s="3477"/>
      <c r="I77" s="3489" t="s">
        <v>2247</v>
      </c>
      <c r="J77" s="3468" t="s">
        <v>2248</v>
      </c>
      <c r="K77" s="3468"/>
      <c r="L77" s="3468"/>
      <c r="M77" s="3468"/>
      <c r="N77" s="3468"/>
      <c r="O77" s="3468"/>
      <c r="P77" s="3490"/>
    </row>
    <row r="78" spans="1:16">
      <c r="A78" s="3512"/>
      <c r="B78" s="3513"/>
      <c r="C78" s="3513"/>
      <c r="D78" s="3475"/>
      <c r="E78" s="3514"/>
      <c r="F78" s="3514"/>
      <c r="G78" s="3514"/>
      <c r="I78" s="3509" t="s">
        <v>2250</v>
      </c>
      <c r="J78" s="3510" t="s">
        <v>2251</v>
      </c>
      <c r="K78" s="3510"/>
      <c r="L78" s="3510"/>
      <c r="M78" s="3510"/>
      <c r="N78" s="3510"/>
      <c r="O78" s="3510"/>
      <c r="P78" s="3511"/>
    </row>
    <row r="79" spans="1:16">
      <c r="A79" s="3512"/>
      <c r="B79" s="3513"/>
      <c r="C79" s="3513"/>
      <c r="D79" s="3475"/>
      <c r="E79" s="3514"/>
      <c r="F79" s="3514"/>
      <c r="G79" s="3514"/>
    </row>
    <row r="80" spans="1:16">
      <c r="A80" s="3512"/>
      <c r="B80" s="3513"/>
      <c r="C80" s="3513"/>
      <c r="D80" s="3475"/>
      <c r="E80" s="3514"/>
      <c r="F80" s="3514"/>
      <c r="G80" s="3514"/>
    </row>
    <row r="81" spans="1:16">
      <c r="A81" s="3512"/>
      <c r="B81" s="3513"/>
      <c r="C81" s="3513"/>
      <c r="D81" s="3475"/>
      <c r="E81" s="3514"/>
      <c r="F81" s="3514"/>
      <c r="G81" s="3514"/>
    </row>
    <row r="82" spans="1:16">
      <c r="A82" s="3512"/>
      <c r="B82" s="3513"/>
      <c r="C82" s="3513"/>
      <c r="D82" s="3475"/>
      <c r="E82" s="3514"/>
      <c r="F82" s="3514"/>
      <c r="G82" s="3514"/>
    </row>
    <row r="83" spans="1:16">
      <c r="A83" s="3513"/>
      <c r="B83" s="3513"/>
      <c r="C83" s="3513"/>
      <c r="D83" s="3475"/>
      <c r="E83" s="3514"/>
      <c r="F83" s="3514"/>
      <c r="G83" s="3514"/>
    </row>
    <row r="84" spans="1:16">
      <c r="A84" s="3513"/>
      <c r="B84" s="3513"/>
      <c r="C84" s="3513"/>
      <c r="D84" s="3475"/>
      <c r="E84" s="3514"/>
      <c r="F84" s="3514"/>
      <c r="G84" s="3514"/>
    </row>
    <row r="85" spans="1:16" s="3468" customFormat="1">
      <c r="A85" s="3513"/>
      <c r="B85" s="3513"/>
      <c r="C85" s="3513"/>
      <c r="D85" s="3475"/>
      <c r="E85" s="3514"/>
      <c r="F85" s="3514"/>
      <c r="G85" s="3514"/>
      <c r="I85" s="3482"/>
      <c r="J85" s="3482"/>
      <c r="K85" s="3482"/>
      <c r="L85" s="3482"/>
      <c r="M85" s="3482"/>
      <c r="N85" s="3482"/>
      <c r="O85" s="3482"/>
      <c r="P85" s="3482"/>
    </row>
    <row r="86" spans="1:16" s="3468" customFormat="1">
      <c r="A86" s="3513"/>
      <c r="B86" s="3513"/>
      <c r="C86" s="3513"/>
      <c r="D86" s="3475"/>
      <c r="E86" s="3514"/>
      <c r="F86" s="3514"/>
      <c r="G86" s="3514"/>
      <c r="I86" s="3482"/>
      <c r="J86" s="3482"/>
      <c r="K86" s="3482"/>
      <c r="L86" s="3482"/>
      <c r="M86" s="3482"/>
      <c r="N86" s="3482"/>
      <c r="O86" s="3482"/>
      <c r="P86" s="3482"/>
    </row>
    <row r="87" spans="1:16" s="3468" customFormat="1">
      <c r="A87" s="3513"/>
      <c r="B87" s="3513"/>
      <c r="C87" s="3513"/>
      <c r="D87" s="3475"/>
      <c r="E87" s="3514"/>
      <c r="F87" s="3514"/>
      <c r="G87" s="3514"/>
      <c r="I87" s="3482"/>
      <c r="J87" s="3482"/>
      <c r="K87" s="3482"/>
      <c r="L87" s="3482"/>
      <c r="M87" s="3482"/>
      <c r="N87" s="3482"/>
      <c r="O87" s="3482"/>
      <c r="P87" s="3482"/>
    </row>
    <row r="88" spans="1:16" s="3468" customFormat="1">
      <c r="A88" s="3513"/>
      <c r="B88" s="3513"/>
      <c r="C88" s="3513"/>
      <c r="D88" s="3475"/>
      <c r="E88" s="3514"/>
      <c r="F88" s="3514"/>
      <c r="G88" s="3514"/>
      <c r="I88" s="3482"/>
      <c r="J88" s="3482"/>
      <c r="K88" s="3482"/>
      <c r="L88" s="3482"/>
      <c r="M88" s="3482"/>
      <c r="N88" s="3482"/>
      <c r="O88" s="3482"/>
      <c r="P88" s="3482"/>
    </row>
    <row r="89" spans="1:16" s="3468" customFormat="1">
      <c r="A89" s="3513"/>
      <c r="B89" s="3513"/>
      <c r="C89" s="3513"/>
      <c r="D89" s="3475"/>
      <c r="E89" s="3514"/>
      <c r="F89" s="3514"/>
      <c r="G89" s="3514"/>
      <c r="I89" s="3482"/>
      <c r="J89" s="3482"/>
      <c r="K89" s="3482"/>
      <c r="L89" s="3482"/>
      <c r="M89" s="3482"/>
      <c r="N89" s="3482"/>
      <c r="O89" s="3482"/>
      <c r="P89" s="3482"/>
    </row>
    <row r="90" spans="1:16" s="3468" customFormat="1">
      <c r="A90" s="3513"/>
      <c r="B90" s="3513"/>
      <c r="C90" s="3513"/>
      <c r="D90" s="3475"/>
      <c r="E90" s="3514"/>
      <c r="F90" s="3514"/>
      <c r="G90" s="3514"/>
      <c r="I90" s="3482"/>
      <c r="J90" s="3482"/>
      <c r="K90" s="3482"/>
      <c r="L90" s="3482"/>
      <c r="M90" s="3482"/>
      <c r="N90" s="3482"/>
      <c r="O90" s="3482"/>
      <c r="P90" s="3482"/>
    </row>
    <row r="91" spans="1:16" s="3468" customFormat="1">
      <c r="A91" s="3513"/>
      <c r="B91" s="3513"/>
      <c r="C91" s="3513"/>
      <c r="D91" s="3475"/>
      <c r="E91" s="3514"/>
      <c r="F91" s="3514"/>
      <c r="G91" s="3514"/>
      <c r="I91" s="3482"/>
      <c r="J91" s="3482"/>
      <c r="K91" s="3482"/>
      <c r="L91" s="3482"/>
      <c r="M91" s="3482"/>
      <c r="N91" s="3482"/>
      <c r="O91" s="3482"/>
      <c r="P91" s="3482"/>
    </row>
    <row r="92" spans="1:16" s="3468" customFormat="1">
      <c r="A92" s="3513"/>
      <c r="B92" s="3513"/>
      <c r="C92" s="3513"/>
      <c r="D92" s="3475"/>
      <c r="E92" s="3514"/>
      <c r="F92" s="3514"/>
      <c r="G92" s="3514"/>
      <c r="I92" s="3482"/>
      <c r="J92" s="3482"/>
      <c r="K92" s="3482"/>
      <c r="L92" s="3482"/>
      <c r="M92" s="3482"/>
      <c r="N92" s="3482"/>
      <c r="O92" s="3482"/>
      <c r="P92" s="3482"/>
    </row>
    <row r="93" spans="1:16" s="3468" customFormat="1" ht="15" customHeight="1">
      <c r="A93" s="3469"/>
      <c r="B93" s="3481"/>
      <c r="C93" s="3469"/>
      <c r="D93" s="3469"/>
      <c r="E93" s="3469"/>
      <c r="F93" s="3469"/>
      <c r="G93" s="3469"/>
      <c r="I93" s="3482"/>
      <c r="J93" s="3482"/>
      <c r="K93" s="3482"/>
      <c r="L93" s="3482"/>
      <c r="M93" s="3482"/>
      <c r="N93" s="3482"/>
      <c r="O93" s="3482"/>
      <c r="P93" s="3482"/>
    </row>
    <row r="94" spans="1:16" s="3468" customFormat="1" ht="15.75" customHeight="1">
      <c r="A94" s="3515" t="s">
        <v>2253</v>
      </c>
      <c r="B94" s="3516"/>
      <c r="C94" s="3516"/>
      <c r="D94" s="3516"/>
      <c r="E94" s="3516"/>
      <c r="F94" s="3516"/>
      <c r="G94" s="3516"/>
      <c r="I94" s="3482"/>
      <c r="J94" s="3482"/>
      <c r="K94" s="3482"/>
      <c r="L94" s="3482"/>
      <c r="M94" s="3482"/>
      <c r="N94" s="3482"/>
      <c r="O94" s="3482"/>
      <c r="P94" s="3482"/>
    </row>
    <row r="95" spans="1:16" s="3468" customFormat="1" ht="15.75">
      <c r="A95" s="3517" t="s">
        <v>2254</v>
      </c>
      <c r="B95" s="3518"/>
      <c r="C95" s="3518"/>
      <c r="D95" s="3518"/>
      <c r="E95" s="3518"/>
      <c r="F95" s="3518"/>
      <c r="G95" s="3518"/>
      <c r="I95" s="3482"/>
      <c r="J95" s="3482"/>
      <c r="K95" s="3482"/>
      <c r="L95" s="3482"/>
      <c r="M95" s="3482"/>
      <c r="N95" s="3482"/>
      <c r="O95" s="3482"/>
      <c r="P95" s="3482"/>
    </row>
    <row r="96" spans="1:16" s="3468" customFormat="1" ht="15.75">
      <c r="A96" s="4243" t="s">
        <v>2255</v>
      </c>
      <c r="B96" s="4243"/>
      <c r="C96" s="4243"/>
      <c r="D96" s="4243"/>
      <c r="E96" s="4243"/>
      <c r="F96" s="4243"/>
      <c r="G96" s="4243"/>
      <c r="I96" s="3482"/>
      <c r="J96" s="3482"/>
      <c r="K96" s="3482"/>
      <c r="L96" s="3482"/>
      <c r="M96" s="3482"/>
      <c r="N96" s="3482"/>
      <c r="O96" s="3482"/>
      <c r="P96" s="3482"/>
    </row>
    <row r="97" spans="1:16" s="3468" customFormat="1" ht="15.75">
      <c r="A97" s="3518" t="s">
        <v>2256</v>
      </c>
      <c r="B97" s="3518"/>
      <c r="C97" s="3518"/>
      <c r="D97" s="3519"/>
      <c r="E97" s="3518"/>
      <c r="F97" s="3518"/>
      <c r="G97" s="3518"/>
      <c r="I97" s="3482"/>
      <c r="J97" s="3482"/>
      <c r="K97" s="3482"/>
      <c r="L97" s="3482"/>
      <c r="M97" s="3482"/>
      <c r="N97" s="3482"/>
      <c r="O97" s="3482"/>
      <c r="P97" s="3482"/>
    </row>
    <row r="98" spans="1:16" s="3468" customFormat="1" ht="15.75">
      <c r="A98" s="3518"/>
      <c r="B98" s="3518"/>
      <c r="C98" s="3518"/>
      <c r="D98" s="3519"/>
      <c r="E98" s="3518"/>
      <c r="F98" s="3518"/>
      <c r="G98" s="3518"/>
      <c r="I98" s="3482"/>
      <c r="J98" s="3482"/>
      <c r="K98" s="3482"/>
      <c r="L98" s="3482"/>
      <c r="M98" s="3482"/>
      <c r="N98" s="3482"/>
      <c r="O98" s="3482"/>
      <c r="P98" s="3482"/>
    </row>
    <row r="99" spans="1:16" s="3468" customFormat="1" ht="15.75">
      <c r="A99" s="3518"/>
      <c r="B99" s="3520" t="s">
        <v>1961</v>
      </c>
      <c r="C99" s="3521"/>
      <c r="D99" s="3522" t="s">
        <v>1960</v>
      </c>
      <c r="E99" s="3523"/>
      <c r="F99" s="3523"/>
      <c r="G99" s="3524"/>
      <c r="I99" s="3482"/>
      <c r="J99" s="3482"/>
      <c r="K99" s="3482"/>
      <c r="L99" s="3482"/>
      <c r="M99" s="3482"/>
      <c r="N99" s="3482"/>
      <c r="O99" s="3482"/>
      <c r="P99" s="3482"/>
    </row>
    <row r="100" spans="1:16" s="3468" customFormat="1" ht="15.75">
      <c r="A100" s="3525"/>
      <c r="B100" s="3526">
        <f>'Copy &amp; Paste'!H11</f>
        <v>0</v>
      </c>
      <c r="C100" s="3518"/>
      <c r="D100" s="3527">
        <f>'Copy &amp; Paste'!B5</f>
        <v>0</v>
      </c>
      <c r="E100" s="3528"/>
      <c r="F100" s="3528"/>
      <c r="G100" s="3529"/>
      <c r="I100" s="3482"/>
      <c r="J100" s="3482"/>
      <c r="K100" s="3482"/>
      <c r="L100" s="3482"/>
      <c r="M100" s="3482"/>
      <c r="N100" s="3482"/>
      <c r="O100" s="3482"/>
      <c r="P100" s="3482"/>
    </row>
    <row r="101" spans="1:16" s="3468" customFormat="1">
      <c r="A101" s="3530" t="s">
        <v>1959</v>
      </c>
      <c r="B101" s="3521"/>
      <c r="C101" s="3521"/>
      <c r="D101" s="3521"/>
      <c r="E101" s="3521"/>
      <c r="F101" s="3521"/>
      <c r="G101" s="3521"/>
      <c r="I101" s="3482"/>
      <c r="J101" s="3482"/>
      <c r="K101" s="3482"/>
      <c r="L101" s="3482"/>
      <c r="M101" s="3482"/>
      <c r="N101" s="3482"/>
      <c r="O101" s="3482"/>
      <c r="P101" s="3482"/>
    </row>
    <row r="102" spans="1:16" s="3468" customFormat="1">
      <c r="A102" s="3531" t="s">
        <v>1958</v>
      </c>
      <c r="B102" s="3521" t="s">
        <v>1957</v>
      </c>
      <c r="C102" s="3521"/>
      <c r="D102" s="3521"/>
      <c r="E102" s="3521"/>
      <c r="F102" s="3521"/>
      <c r="G102" s="3521"/>
      <c r="I102" s="3482"/>
      <c r="J102" s="3482"/>
      <c r="K102" s="3482"/>
      <c r="L102" s="3482"/>
      <c r="M102" s="3482"/>
      <c r="N102" s="3482"/>
      <c r="O102" s="3482"/>
      <c r="P102" s="3482"/>
    </row>
    <row r="103" spans="1:16" s="3468" customFormat="1" ht="6.95" customHeight="1" thickBot="1">
      <c r="A103" s="3521"/>
      <c r="B103" s="3521"/>
      <c r="C103" s="3521"/>
      <c r="D103" s="3521"/>
      <c r="E103" s="3521"/>
      <c r="F103" s="3521"/>
      <c r="G103" s="3521"/>
      <c r="I103" s="3482"/>
      <c r="J103" s="3482"/>
      <c r="K103" s="3482"/>
      <c r="L103" s="3482"/>
      <c r="M103" s="3482"/>
      <c r="N103" s="3482"/>
      <c r="O103" s="3482"/>
      <c r="P103" s="3482"/>
    </row>
    <row r="104" spans="1:16" s="3468" customFormat="1" ht="33" customHeight="1" thickBot="1">
      <c r="A104" s="3532" t="s">
        <v>1956</v>
      </c>
      <c r="B104" s="4244" t="s">
        <v>2257</v>
      </c>
      <c r="C104" s="4244"/>
      <c r="D104" s="4244"/>
      <c r="E104" s="4244"/>
      <c r="F104" s="4244"/>
      <c r="G104" s="4245"/>
      <c r="I104" s="3482"/>
      <c r="J104" s="3482"/>
      <c r="K104" s="3482"/>
      <c r="L104" s="3482"/>
      <c r="M104" s="3482"/>
      <c r="N104" s="3482"/>
      <c r="O104" s="3482"/>
      <c r="P104" s="3482"/>
    </row>
    <row r="105" spans="1:16" s="3468" customFormat="1" ht="6.95" customHeight="1">
      <c r="A105" s="3533"/>
      <c r="B105" s="3533"/>
      <c r="C105" s="3533"/>
      <c r="D105" s="3533"/>
      <c r="E105" s="3533"/>
      <c r="F105" s="3533"/>
      <c r="G105" s="3533"/>
      <c r="I105" s="3482"/>
      <c r="J105" s="3482"/>
      <c r="K105" s="3482"/>
      <c r="L105" s="3482"/>
      <c r="M105" s="3482"/>
      <c r="N105" s="3482"/>
      <c r="O105" s="3482"/>
      <c r="P105" s="3482"/>
    </row>
    <row r="106" spans="1:16" s="3468" customFormat="1">
      <c r="A106" s="3521"/>
      <c r="B106" s="3521" t="s">
        <v>1</v>
      </c>
      <c r="C106" s="3534"/>
      <c r="D106" s="3521"/>
      <c r="E106" s="3521"/>
      <c r="F106" s="3521"/>
      <c r="G106" s="3521"/>
      <c r="I106" s="3482"/>
      <c r="J106" s="3482"/>
      <c r="K106" s="3482"/>
      <c r="L106" s="3482"/>
      <c r="M106" s="3482"/>
      <c r="N106" s="3482"/>
      <c r="O106" s="3482"/>
      <c r="P106" s="3482"/>
    </row>
    <row r="107" spans="1:16" s="3468" customFormat="1">
      <c r="A107" s="3521"/>
      <c r="B107" s="3521" t="s">
        <v>2</v>
      </c>
      <c r="C107" s="3534"/>
      <c r="D107" s="3521"/>
      <c r="E107" s="3521"/>
      <c r="F107" s="3521"/>
      <c r="G107" s="3521"/>
      <c r="I107" s="3482"/>
      <c r="J107" s="3482"/>
      <c r="K107" s="3482"/>
      <c r="L107" s="3482"/>
      <c r="M107" s="3482"/>
      <c r="N107" s="3482"/>
      <c r="O107" s="3482"/>
      <c r="P107" s="3482"/>
    </row>
    <row r="108" spans="1:16" s="3468" customFormat="1">
      <c r="A108" s="3521"/>
      <c r="B108" s="3521" t="s">
        <v>3</v>
      </c>
      <c r="C108" s="3534"/>
      <c r="D108" s="3521"/>
      <c r="E108" s="3521"/>
      <c r="F108" s="3521"/>
      <c r="G108" s="3521"/>
      <c r="I108" s="3482"/>
      <c r="J108" s="3482"/>
      <c r="K108" s="3482"/>
      <c r="L108" s="3482"/>
      <c r="M108" s="3482"/>
      <c r="N108" s="3482"/>
      <c r="O108" s="3482"/>
      <c r="P108" s="3482"/>
    </row>
    <row r="109" spans="1:16" s="3468" customFormat="1">
      <c r="A109" s="3521"/>
      <c r="B109" s="3521" t="s">
        <v>4</v>
      </c>
      <c r="C109" s="3534"/>
      <c r="D109" s="3521"/>
      <c r="E109" s="3521"/>
      <c r="F109" s="3521"/>
      <c r="G109" s="3521"/>
      <c r="I109" s="3482"/>
      <c r="J109" s="3482"/>
      <c r="K109" s="3482"/>
      <c r="L109" s="3482"/>
      <c r="M109" s="3482"/>
      <c r="N109" s="3482"/>
      <c r="O109" s="3482"/>
      <c r="P109" s="3482"/>
    </row>
    <row r="110" spans="1:16" s="3468" customFormat="1">
      <c r="A110" s="3521"/>
      <c r="B110" s="3521" t="s">
        <v>5</v>
      </c>
      <c r="C110" s="3534"/>
      <c r="D110" s="3521"/>
      <c r="E110" s="3521"/>
      <c r="F110" s="3521"/>
      <c r="G110" s="3521"/>
      <c r="I110" s="3482"/>
      <c r="J110" s="3482"/>
      <c r="K110" s="3482"/>
      <c r="L110" s="3482"/>
      <c r="M110" s="3482"/>
      <c r="N110" s="3482"/>
      <c r="O110" s="3482"/>
      <c r="P110" s="3482"/>
    </row>
    <row r="111" spans="1:16" s="3468" customFormat="1" ht="15.75" thickBot="1">
      <c r="A111" s="3521"/>
      <c r="B111" s="3535" t="s">
        <v>1954</v>
      </c>
      <c r="C111" s="3536">
        <f>SUM(C106:C110)</f>
        <v>0</v>
      </c>
      <c r="D111" s="3521"/>
      <c r="E111" s="3521"/>
      <c r="F111" s="3521"/>
      <c r="G111" s="3521"/>
      <c r="I111" s="3482"/>
      <c r="J111" s="3482"/>
      <c r="K111" s="3482"/>
      <c r="L111" s="3482"/>
      <c r="M111" s="3482"/>
      <c r="N111" s="3482"/>
      <c r="O111" s="3482"/>
      <c r="P111" s="3482"/>
    </row>
    <row r="112" spans="1:16" s="3468" customFormat="1" ht="15.75" thickTop="1">
      <c r="A112" s="3521"/>
      <c r="B112" s="3521" t="s">
        <v>241</v>
      </c>
      <c r="C112" s="3537">
        <f>B100</f>
        <v>0</v>
      </c>
      <c r="D112" s="3521"/>
      <c r="E112" s="3521"/>
      <c r="F112" s="3521"/>
      <c r="G112" s="3521"/>
      <c r="I112" s="3482"/>
      <c r="J112" s="3482"/>
      <c r="K112" s="3482"/>
      <c r="L112" s="3482"/>
      <c r="M112" s="3482"/>
      <c r="N112" s="3482"/>
      <c r="O112" s="3482"/>
      <c r="P112" s="3482"/>
    </row>
    <row r="113" spans="1:16" s="3468" customFormat="1" ht="15.75" thickBot="1">
      <c r="A113" s="3521"/>
      <c r="B113" s="3535" t="s">
        <v>1953</v>
      </c>
      <c r="C113" s="3538" t="e">
        <f>+C111/C112</f>
        <v>#DIV/0!</v>
      </c>
      <c r="D113" s="3521"/>
      <c r="E113" s="3521"/>
      <c r="F113" s="3521"/>
      <c r="G113" s="3521"/>
      <c r="I113" s="3482"/>
      <c r="J113" s="3482"/>
      <c r="K113" s="3482"/>
      <c r="L113" s="3482"/>
      <c r="M113" s="3482"/>
      <c r="N113" s="3482"/>
      <c r="O113" s="3482"/>
      <c r="P113" s="3482"/>
    </row>
    <row r="114" spans="1:16" s="3468" customFormat="1" ht="33" customHeight="1" thickBot="1">
      <c r="A114" s="3532" t="s">
        <v>325</v>
      </c>
      <c r="B114" s="4244" t="s">
        <v>2258</v>
      </c>
      <c r="C114" s="4244"/>
      <c r="D114" s="4244"/>
      <c r="E114" s="4244"/>
      <c r="F114" s="4244"/>
      <c r="G114" s="4245"/>
      <c r="I114" s="3482"/>
      <c r="J114" s="3482"/>
      <c r="K114" s="3482"/>
      <c r="L114" s="3482"/>
      <c r="M114" s="3482"/>
      <c r="N114" s="3482"/>
      <c r="O114" s="3482"/>
      <c r="P114" s="3482"/>
    </row>
    <row r="115" spans="1:16" s="3468" customFormat="1" ht="6.95" customHeight="1">
      <c r="A115" s="3521"/>
      <c r="B115" s="3521"/>
      <c r="C115" s="3521"/>
      <c r="D115" s="3521"/>
      <c r="E115" s="3521"/>
      <c r="F115" s="3521"/>
      <c r="G115" s="3521"/>
      <c r="I115" s="3482"/>
      <c r="J115" s="3482"/>
      <c r="K115" s="3482"/>
      <c r="L115" s="3482"/>
      <c r="M115" s="3482"/>
      <c r="N115" s="3482"/>
      <c r="O115" s="3482"/>
      <c r="P115" s="3482"/>
    </row>
    <row r="116" spans="1:16" s="3468" customFormat="1">
      <c r="A116" s="3539" t="s">
        <v>1951</v>
      </c>
      <c r="B116" s="3521" t="s">
        <v>1950</v>
      </c>
      <c r="C116" s="3540"/>
      <c r="D116" s="3521"/>
      <c r="E116" s="3521"/>
      <c r="F116" s="3521"/>
      <c r="G116" s="3521"/>
      <c r="I116" s="3482"/>
      <c r="J116" s="3482"/>
      <c r="K116" s="3482"/>
      <c r="L116" s="3482"/>
      <c r="M116" s="3482"/>
      <c r="N116" s="3482"/>
      <c r="O116" s="3482"/>
      <c r="P116" s="3482"/>
    </row>
    <row r="117" spans="1:16" s="3468" customFormat="1">
      <c r="A117" s="3539" t="s">
        <v>1949</v>
      </c>
      <c r="B117" s="3521" t="s">
        <v>1948</v>
      </c>
      <c r="C117" s="3541"/>
      <c r="D117" s="3521"/>
      <c r="E117" s="3521"/>
      <c r="F117" s="3521"/>
      <c r="G117" s="3521"/>
      <c r="I117" s="3482"/>
      <c r="J117" s="3482"/>
      <c r="K117" s="3482"/>
      <c r="L117" s="3482"/>
      <c r="M117" s="3482"/>
      <c r="N117" s="3482"/>
      <c r="O117" s="3482"/>
      <c r="P117" s="3482"/>
    </row>
    <row r="118" spans="1:16" s="3468" customFormat="1" ht="15.75" thickBot="1">
      <c r="A118" s="3539" t="s">
        <v>1947</v>
      </c>
      <c r="B118" s="3521"/>
      <c r="C118" s="3542">
        <f>B7</f>
        <v>0</v>
      </c>
      <c r="D118" s="3521"/>
      <c r="E118" s="3521"/>
      <c r="F118" s="3521"/>
      <c r="G118" s="3521"/>
      <c r="I118" s="3482"/>
      <c r="J118" s="3482"/>
      <c r="K118" s="3482"/>
      <c r="L118" s="3482"/>
      <c r="M118" s="3482"/>
      <c r="N118" s="3482"/>
      <c r="O118" s="3482"/>
      <c r="P118" s="3482"/>
    </row>
    <row r="119" spans="1:16" s="3468" customFormat="1" ht="6.95" customHeight="1" thickTop="1" thickBot="1">
      <c r="A119" s="3521"/>
      <c r="B119" s="3521"/>
      <c r="C119" s="3521"/>
      <c r="D119" s="3521"/>
      <c r="E119" s="3521"/>
      <c r="F119" s="3521"/>
      <c r="G119" s="3521"/>
      <c r="I119" s="3482"/>
      <c r="J119" s="3482"/>
      <c r="K119" s="3482"/>
      <c r="L119" s="3482"/>
      <c r="M119" s="3482"/>
      <c r="N119" s="3482"/>
      <c r="O119" s="3482"/>
      <c r="P119" s="3482"/>
    </row>
    <row r="120" spans="1:16" s="3468" customFormat="1" ht="16.5" thickBot="1">
      <c r="A120" s="3532" t="s">
        <v>326</v>
      </c>
      <c r="B120" s="3543" t="s">
        <v>1946</v>
      </c>
      <c r="C120" s="3543"/>
      <c r="D120" s="3543"/>
      <c r="E120" s="3543"/>
      <c r="F120" s="3543"/>
      <c r="G120" s="3543"/>
      <c r="I120" s="3482"/>
      <c r="J120" s="3482"/>
      <c r="K120" s="3482"/>
      <c r="L120" s="3482"/>
      <c r="M120" s="3482"/>
      <c r="N120" s="3482"/>
      <c r="O120" s="3482"/>
      <c r="P120" s="3482"/>
    </row>
    <row r="121" spans="1:16" s="3468" customFormat="1">
      <c r="A121" s="3533"/>
      <c r="B121" s="3533"/>
      <c r="C121" s="3533"/>
      <c r="D121" s="3533"/>
      <c r="E121" s="3533"/>
      <c r="F121" s="3533"/>
      <c r="G121" s="3533"/>
      <c r="I121" s="3482"/>
      <c r="J121" s="3482"/>
      <c r="K121" s="3482"/>
      <c r="L121" s="3482"/>
      <c r="M121" s="3482"/>
      <c r="N121" s="3482"/>
      <c r="O121" s="3482"/>
      <c r="P121" s="3482"/>
    </row>
    <row r="122" spans="1:16" s="3468" customFormat="1">
      <c r="A122" s="3539" t="s">
        <v>1945</v>
      </c>
      <c r="B122" s="3544">
        <f>+C118</f>
        <v>0</v>
      </c>
      <c r="C122" s="3545">
        <v>1.0680000000000001</v>
      </c>
      <c r="D122" s="3546" t="s">
        <v>1940</v>
      </c>
      <c r="E122" s="3547" t="s">
        <v>1944</v>
      </c>
      <c r="F122" s="3547"/>
      <c r="G122" s="3547"/>
      <c r="I122" s="3482"/>
      <c r="J122" s="3482"/>
      <c r="K122" s="3482"/>
      <c r="L122" s="3482"/>
      <c r="M122" s="3482"/>
      <c r="N122" s="3482"/>
      <c r="O122" s="3482"/>
      <c r="P122" s="3482"/>
    </row>
    <row r="123" spans="1:16" s="3468" customFormat="1">
      <c r="A123" s="3539" t="s">
        <v>1943</v>
      </c>
      <c r="B123" s="3544">
        <f>+B122/C122</f>
        <v>0</v>
      </c>
      <c r="C123" s="3548">
        <v>1</v>
      </c>
      <c r="D123" s="3549" t="s">
        <v>1942</v>
      </c>
      <c r="E123" s="3533"/>
      <c r="F123" s="3533"/>
      <c r="G123" s="3533"/>
      <c r="I123" s="3482"/>
      <c r="J123" s="3482"/>
      <c r="K123" s="3482"/>
      <c r="L123" s="3482"/>
      <c r="M123" s="3482"/>
      <c r="N123" s="3482"/>
      <c r="O123" s="3482"/>
      <c r="P123" s="3482"/>
    </row>
    <row r="124" spans="1:16" s="3468" customFormat="1">
      <c r="A124" s="3539" t="s">
        <v>1941</v>
      </c>
      <c r="B124" s="3544">
        <f>+B122-B123</f>
        <v>0</v>
      </c>
      <c r="C124" s="3550" t="e">
        <f>+B124/B123</f>
        <v>#DIV/0!</v>
      </c>
      <c r="D124" s="3546" t="s">
        <v>1940</v>
      </c>
      <c r="E124" s="3547" t="s">
        <v>1939</v>
      </c>
      <c r="F124" s="3547"/>
      <c r="G124" s="3547"/>
      <c r="I124" s="3482"/>
      <c r="J124" s="3482"/>
      <c r="K124" s="3482"/>
      <c r="L124" s="3482"/>
      <c r="M124" s="3482"/>
      <c r="N124" s="3482"/>
      <c r="O124" s="3482"/>
      <c r="P124" s="3482"/>
    </row>
    <row r="125" spans="1:16" s="3468" customFormat="1">
      <c r="A125" s="3521"/>
      <c r="B125" s="3521"/>
      <c r="C125" s="3521"/>
      <c r="D125" s="3521"/>
      <c r="E125" s="3521"/>
      <c r="F125" s="3521"/>
      <c r="G125" s="3521"/>
      <c r="I125" s="3482"/>
      <c r="J125" s="3482"/>
      <c r="K125" s="3482"/>
      <c r="L125" s="3482"/>
      <c r="M125" s="3482"/>
      <c r="N125" s="3482"/>
      <c r="O125" s="3482"/>
      <c r="P125" s="3482"/>
    </row>
    <row r="126" spans="1:16" s="3468" customFormat="1" ht="16.5" thickBot="1">
      <c r="A126" s="3551"/>
      <c r="B126" s="3552"/>
      <c r="C126" s="3553"/>
      <c r="D126" s="3553"/>
      <c r="E126" s="3553"/>
      <c r="F126" s="3553"/>
      <c r="G126" s="3551"/>
      <c r="I126" s="3482"/>
      <c r="J126" s="3482"/>
      <c r="K126" s="3482"/>
      <c r="L126" s="3482"/>
      <c r="M126" s="3482"/>
      <c r="N126" s="3482"/>
      <c r="O126" s="3482"/>
      <c r="P126" s="3482"/>
    </row>
    <row r="127" spans="1:16" s="3468" customFormat="1" ht="24.75" thickBot="1">
      <c r="A127" s="3521"/>
      <c r="B127" s="3521"/>
      <c r="C127" s="3554" t="s">
        <v>1930</v>
      </c>
      <c r="D127" s="3555" t="s">
        <v>1938</v>
      </c>
      <c r="E127" s="3556" t="s">
        <v>1937</v>
      </c>
      <c r="F127" s="3556" t="s">
        <v>1936</v>
      </c>
      <c r="G127" s="3521"/>
      <c r="I127" s="3482"/>
      <c r="J127" s="3482"/>
      <c r="K127" s="3482"/>
      <c r="L127" s="3482"/>
      <c r="M127" s="3482"/>
      <c r="N127" s="3482"/>
      <c r="O127" s="3482"/>
      <c r="P127" s="3482"/>
    </row>
    <row r="128" spans="1:16" s="3468" customFormat="1">
      <c r="A128" s="3521"/>
      <c r="B128" s="3557" t="s">
        <v>811</v>
      </c>
      <c r="C128" s="3557">
        <v>8</v>
      </c>
      <c r="D128" s="3558">
        <f>1/C128</f>
        <v>0.125</v>
      </c>
      <c r="E128" s="3559">
        <f>+C106</f>
        <v>0</v>
      </c>
      <c r="F128" s="3560">
        <f>+D128*E128</f>
        <v>0</v>
      </c>
      <c r="G128" s="3521"/>
      <c r="I128" s="3482"/>
      <c r="J128" s="3482"/>
      <c r="K128" s="3482"/>
      <c r="L128" s="3482"/>
      <c r="M128" s="3482"/>
      <c r="N128" s="3482"/>
      <c r="O128" s="3482"/>
      <c r="P128" s="3482"/>
    </row>
    <row r="129" spans="1:16" s="3468" customFormat="1">
      <c r="A129" s="3521"/>
      <c r="B129" s="3561" t="s">
        <v>812</v>
      </c>
      <c r="C129" s="3561">
        <v>4.66</v>
      </c>
      <c r="D129" s="3562">
        <f t="shared" ref="D129:D132" si="0">1/C129</f>
        <v>0.215</v>
      </c>
      <c r="E129" s="3563">
        <f>+C107</f>
        <v>0</v>
      </c>
      <c r="F129" s="3564">
        <f t="shared" ref="F129:F132" si="1">+D129*E129</f>
        <v>0</v>
      </c>
      <c r="G129" s="3521"/>
      <c r="I129" s="3482"/>
      <c r="J129" s="3482"/>
      <c r="K129" s="3482"/>
      <c r="L129" s="3482"/>
      <c r="M129" s="3482"/>
      <c r="N129" s="3482"/>
      <c r="O129" s="3482"/>
      <c r="P129" s="3482"/>
    </row>
    <row r="130" spans="1:16" s="3468" customFormat="1">
      <c r="A130" s="3521"/>
      <c r="B130" s="3561" t="s">
        <v>813</v>
      </c>
      <c r="C130" s="3561">
        <v>3.05</v>
      </c>
      <c r="D130" s="3562">
        <f t="shared" si="0"/>
        <v>0.32800000000000001</v>
      </c>
      <c r="E130" s="3563">
        <f>+C108</f>
        <v>0</v>
      </c>
      <c r="F130" s="3564">
        <f t="shared" si="1"/>
        <v>0</v>
      </c>
      <c r="G130" s="3521"/>
      <c r="I130" s="3482"/>
      <c r="J130" s="3482"/>
      <c r="K130" s="3482"/>
      <c r="L130" s="3482"/>
      <c r="M130" s="3482"/>
      <c r="N130" s="3482"/>
      <c r="O130" s="3482"/>
      <c r="P130" s="3482"/>
    </row>
    <row r="131" spans="1:16" s="3468" customFormat="1">
      <c r="A131" s="3521"/>
      <c r="B131" s="3561" t="s">
        <v>814</v>
      </c>
      <c r="C131" s="3561">
        <v>2.2400000000000002</v>
      </c>
      <c r="D131" s="3562">
        <f t="shared" si="0"/>
        <v>0.44600000000000001</v>
      </c>
      <c r="E131" s="3563">
        <f>+C109</f>
        <v>0</v>
      </c>
      <c r="F131" s="3564">
        <f t="shared" si="1"/>
        <v>0</v>
      </c>
      <c r="G131" s="3521"/>
      <c r="I131" s="3482"/>
      <c r="J131" s="3482"/>
      <c r="K131" s="3482"/>
      <c r="L131" s="3482"/>
      <c r="M131" s="3482"/>
      <c r="N131" s="3482"/>
      <c r="O131" s="3482"/>
      <c r="P131" s="3482"/>
    </row>
    <row r="132" spans="1:16" s="3468" customFormat="1" ht="15.75" thickBot="1">
      <c r="A132" s="3521"/>
      <c r="B132" s="3565" t="s">
        <v>815</v>
      </c>
      <c r="C132" s="3565">
        <v>2</v>
      </c>
      <c r="D132" s="3566">
        <f t="shared" si="0"/>
        <v>0.5</v>
      </c>
      <c r="E132" s="3567">
        <f>+C110</f>
        <v>0</v>
      </c>
      <c r="F132" s="3568">
        <f t="shared" si="1"/>
        <v>0</v>
      </c>
      <c r="G132" s="3521"/>
      <c r="I132" s="3482"/>
      <c r="J132" s="3482"/>
      <c r="K132" s="3482"/>
      <c r="L132" s="3482"/>
      <c r="M132" s="3482"/>
      <c r="N132" s="3482"/>
      <c r="O132" s="3482"/>
      <c r="P132" s="3482"/>
    </row>
    <row r="133" spans="1:16" s="3468" customFormat="1">
      <c r="A133" s="3521"/>
      <c r="B133" s="3549"/>
      <c r="C133" s="3549"/>
      <c r="D133" s="3549"/>
      <c r="E133" s="3569" t="s">
        <v>1935</v>
      </c>
      <c r="F133" s="3570">
        <f>SUM(F128:F132)</f>
        <v>0</v>
      </c>
      <c r="G133" s="3521"/>
      <c r="I133" s="3482"/>
      <c r="J133" s="3482"/>
      <c r="K133" s="3482"/>
      <c r="L133" s="3482"/>
      <c r="M133" s="3482"/>
      <c r="N133" s="3482"/>
      <c r="O133" s="3482"/>
      <c r="P133" s="3482"/>
    </row>
    <row r="134" spans="1:16" s="3468" customFormat="1" ht="15.75">
      <c r="A134" s="3533"/>
      <c r="B134" s="3533"/>
      <c r="C134" s="3533"/>
      <c r="D134" s="3521"/>
      <c r="E134" s="3571" t="s">
        <v>1934</v>
      </c>
      <c r="F134" s="3572">
        <f>+C118-F133-B124</f>
        <v>0</v>
      </c>
      <c r="G134" s="3573" t="e">
        <f>+F134/F133</f>
        <v>#DIV/0!</v>
      </c>
      <c r="I134" s="3482"/>
      <c r="J134" s="3482"/>
      <c r="K134" s="3482"/>
      <c r="L134" s="3482"/>
      <c r="M134" s="3482"/>
      <c r="N134" s="3482"/>
      <c r="O134" s="3482"/>
      <c r="P134" s="3482"/>
    </row>
    <row r="135" spans="1:16" s="3468" customFormat="1" ht="16.5" thickBot="1">
      <c r="A135" s="3574"/>
      <c r="B135" s="3575"/>
      <c r="C135" s="3575"/>
      <c r="D135" s="3533"/>
      <c r="E135" s="3571" t="s">
        <v>1933</v>
      </c>
      <c r="F135" s="3576">
        <f>+F134+F133</f>
        <v>0</v>
      </c>
      <c r="G135" s="3533"/>
      <c r="I135" s="3482"/>
      <c r="J135" s="3482"/>
      <c r="K135" s="3482"/>
      <c r="L135" s="3482"/>
      <c r="M135" s="3482"/>
      <c r="N135" s="3482"/>
      <c r="O135" s="3482"/>
      <c r="P135" s="3482"/>
    </row>
    <row r="136" spans="1:16" s="3468" customFormat="1" ht="17.25" thickTop="1" thickBot="1">
      <c r="A136" s="3533"/>
      <c r="B136" s="3577" t="s">
        <v>1932</v>
      </c>
      <c r="C136" s="3533"/>
      <c r="D136" s="3549"/>
      <c r="E136" s="3521"/>
      <c r="F136" s="3575"/>
      <c r="G136" s="3578"/>
      <c r="I136" s="3482"/>
      <c r="J136" s="3482"/>
      <c r="K136" s="3482"/>
      <c r="L136" s="3482"/>
      <c r="M136" s="3482"/>
      <c r="N136" s="3482"/>
      <c r="O136" s="3482"/>
      <c r="P136" s="3482"/>
    </row>
    <row r="137" spans="1:16" s="3468" customFormat="1" ht="33" customHeight="1" thickBot="1">
      <c r="A137" s="3532" t="s">
        <v>328</v>
      </c>
      <c r="B137" s="3543" t="s">
        <v>1931</v>
      </c>
      <c r="C137" s="3543"/>
      <c r="D137" s="3543"/>
      <c r="E137" s="3543"/>
      <c r="F137" s="3579"/>
      <c r="G137" s="3579"/>
      <c r="I137" s="3482"/>
      <c r="J137" s="3482"/>
      <c r="K137" s="3482"/>
      <c r="L137" s="3482"/>
      <c r="M137" s="3482"/>
      <c r="N137" s="3482"/>
      <c r="O137" s="3482"/>
      <c r="P137" s="3482"/>
    </row>
    <row r="138" spans="1:16" s="3468" customFormat="1" ht="47.25">
      <c r="A138" s="3521"/>
      <c r="B138" s="3521"/>
      <c r="C138" s="3580" t="s">
        <v>1930</v>
      </c>
      <c r="D138" s="3581" t="s">
        <v>1929</v>
      </c>
      <c r="E138" s="3582" t="s">
        <v>1925</v>
      </c>
      <c r="F138" s="3521"/>
      <c r="G138" s="3521"/>
      <c r="I138" s="3482"/>
      <c r="J138" s="3482"/>
      <c r="K138" s="3482"/>
      <c r="L138" s="3482"/>
      <c r="M138" s="3482"/>
      <c r="N138" s="3482"/>
      <c r="O138" s="3482"/>
      <c r="P138" s="3482"/>
    </row>
    <row r="139" spans="1:16" s="3468" customFormat="1" ht="16.5" thickBot="1">
      <c r="A139" s="3521"/>
      <c r="B139" s="3521"/>
      <c r="C139" s="3583"/>
      <c r="D139" s="4246" t="e">
        <f>G134</f>
        <v>#DIV/0!</v>
      </c>
      <c r="E139" s="4246"/>
      <c r="F139" s="3521"/>
      <c r="G139" s="3521"/>
      <c r="I139" s="3482"/>
      <c r="J139" s="3482"/>
      <c r="K139" s="3482"/>
      <c r="L139" s="3482"/>
      <c r="M139" s="3482"/>
      <c r="N139" s="3482"/>
      <c r="O139" s="3482"/>
      <c r="P139" s="3482"/>
    </row>
    <row r="140" spans="1:16" s="3468" customFormat="1" ht="15.75">
      <c r="A140" s="3584"/>
      <c r="B140" s="3585" t="s">
        <v>811</v>
      </c>
      <c r="C140" s="3586">
        <f>D128</f>
        <v>0.125</v>
      </c>
      <c r="D140" s="3587" t="e">
        <f>+D128*(1+$G$134)</f>
        <v>#DIV/0!</v>
      </c>
      <c r="E140" s="3588" t="e">
        <f>1/D140</f>
        <v>#DIV/0!</v>
      </c>
      <c r="F140" s="3584"/>
      <c r="G140" s="3584"/>
      <c r="I140" s="3482"/>
      <c r="J140" s="3482"/>
      <c r="K140" s="3482"/>
      <c r="L140" s="3482"/>
      <c r="M140" s="3482"/>
      <c r="N140" s="3482"/>
      <c r="O140" s="3482"/>
      <c r="P140" s="3482"/>
    </row>
    <row r="141" spans="1:16" s="3468" customFormat="1" ht="15.75">
      <c r="A141" s="3584"/>
      <c r="B141" s="3589" t="s">
        <v>812</v>
      </c>
      <c r="C141" s="3590">
        <f>D129</f>
        <v>0.215</v>
      </c>
      <c r="D141" s="3591" t="e">
        <f>+D129*(1+$G$134)</f>
        <v>#DIV/0!</v>
      </c>
      <c r="E141" s="3592" t="e">
        <f>1/D141</f>
        <v>#DIV/0!</v>
      </c>
      <c r="F141" s="3584"/>
      <c r="G141" s="3584"/>
      <c r="I141" s="3482"/>
      <c r="J141" s="3482"/>
      <c r="K141" s="3482"/>
      <c r="L141" s="3482"/>
      <c r="M141" s="3482"/>
      <c r="N141" s="3482"/>
      <c r="O141" s="3482"/>
      <c r="P141" s="3482"/>
    </row>
    <row r="142" spans="1:16" s="3468" customFormat="1" ht="15.75">
      <c r="A142" s="3584"/>
      <c r="B142" s="3589" t="s">
        <v>813</v>
      </c>
      <c r="C142" s="3590">
        <f>D130</f>
        <v>0.32800000000000001</v>
      </c>
      <c r="D142" s="3591" t="e">
        <f>+D130*(1+$G$134)</f>
        <v>#DIV/0!</v>
      </c>
      <c r="E142" s="3592" t="e">
        <f>1/D142</f>
        <v>#DIV/0!</v>
      </c>
      <c r="F142" s="3584"/>
      <c r="G142" s="3584"/>
      <c r="I142" s="3482"/>
      <c r="J142" s="3482"/>
      <c r="K142" s="3482"/>
      <c r="L142" s="3482"/>
      <c r="M142" s="3482"/>
      <c r="N142" s="3482"/>
      <c r="O142" s="3482"/>
      <c r="P142" s="3482"/>
    </row>
    <row r="143" spans="1:16" s="3468" customFormat="1" ht="15.75">
      <c r="A143" s="3584"/>
      <c r="B143" s="3589" t="s">
        <v>814</v>
      </c>
      <c r="C143" s="3590">
        <f>D131</f>
        <v>0.44600000000000001</v>
      </c>
      <c r="D143" s="3591" t="e">
        <f>+D131*(1+$G$134)</f>
        <v>#DIV/0!</v>
      </c>
      <c r="E143" s="3592" t="e">
        <f>1/D143</f>
        <v>#DIV/0!</v>
      </c>
      <c r="F143" s="3584"/>
      <c r="G143" s="3584"/>
      <c r="I143" s="3482"/>
      <c r="J143" s="3482"/>
      <c r="K143" s="3482"/>
      <c r="L143" s="3482"/>
      <c r="M143" s="3482"/>
      <c r="N143" s="3482"/>
      <c r="O143" s="3482"/>
      <c r="P143" s="3482"/>
    </row>
    <row r="144" spans="1:16" s="3468" customFormat="1" ht="16.5" thickBot="1">
      <c r="A144" s="3584"/>
      <c r="B144" s="3593" t="s">
        <v>815</v>
      </c>
      <c r="C144" s="3594">
        <f>D132</f>
        <v>0.5</v>
      </c>
      <c r="D144" s="3595" t="e">
        <f>+D132*(1+$G$134)</f>
        <v>#DIV/0!</v>
      </c>
      <c r="E144" s="3596" t="e">
        <f>1/D144</f>
        <v>#DIV/0!</v>
      </c>
      <c r="F144" s="3584"/>
      <c r="G144" s="3584"/>
      <c r="I144" s="3482"/>
      <c r="J144" s="3482"/>
      <c r="K144" s="3482"/>
      <c r="L144" s="3482"/>
      <c r="M144" s="3482"/>
      <c r="N144" s="3482"/>
      <c r="O144" s="3482"/>
      <c r="P144" s="3482"/>
    </row>
    <row r="145" spans="1:16" s="3468" customFormat="1">
      <c r="A145" s="3584"/>
      <c r="B145" s="3584"/>
      <c r="C145" s="3584"/>
      <c r="D145" s="3551"/>
      <c r="E145" s="3521"/>
      <c r="F145" s="3584"/>
      <c r="G145" s="3584"/>
      <c r="I145" s="3482"/>
      <c r="J145" s="3482"/>
      <c r="K145" s="3482"/>
      <c r="L145" s="3482"/>
      <c r="M145" s="3482"/>
      <c r="N145" s="3482"/>
      <c r="O145" s="3482"/>
      <c r="P145" s="3482"/>
    </row>
    <row r="146" spans="1:16" s="3468" customFormat="1" ht="15.75" thickBot="1">
      <c r="A146" s="3584"/>
      <c r="B146" s="3584"/>
      <c r="C146" s="3584"/>
      <c r="D146" s="3551"/>
      <c r="E146" s="3521"/>
      <c r="F146" s="3597"/>
      <c r="G146" s="3584"/>
      <c r="I146" s="3482"/>
      <c r="J146" s="3482"/>
      <c r="K146" s="3482"/>
      <c r="L146" s="3482"/>
      <c r="M146" s="3482"/>
      <c r="N146" s="3482"/>
      <c r="O146" s="3482"/>
      <c r="P146" s="3482"/>
    </row>
    <row r="147" spans="1:16" s="3468" customFormat="1" ht="16.5" thickBot="1">
      <c r="A147" s="3532" t="s">
        <v>329</v>
      </c>
      <c r="B147" s="3543" t="s">
        <v>1928</v>
      </c>
      <c r="C147" s="3598"/>
      <c r="D147" s="3543"/>
      <c r="E147" s="3543"/>
      <c r="F147" s="3543"/>
      <c r="G147" s="3598"/>
      <c r="I147" s="3482"/>
      <c r="J147" s="3482"/>
      <c r="K147" s="3482"/>
      <c r="L147" s="3482"/>
      <c r="M147" s="3482"/>
      <c r="N147" s="3482"/>
      <c r="O147" s="3482"/>
      <c r="P147" s="3482"/>
    </row>
    <row r="148" spans="1:16" s="3468" customFormat="1" ht="6.95" customHeight="1" thickBot="1">
      <c r="A148" s="3599"/>
      <c r="B148" s="3600"/>
      <c r="C148" s="3601"/>
      <c r="D148" s="3533"/>
      <c r="E148" s="3533"/>
      <c r="F148" s="3533"/>
      <c r="G148" s="3602"/>
      <c r="I148" s="3482"/>
      <c r="J148" s="3482"/>
      <c r="K148" s="3482"/>
      <c r="L148" s="3482"/>
      <c r="M148" s="3482"/>
      <c r="N148" s="3482"/>
      <c r="O148" s="3482"/>
      <c r="P148" s="3482"/>
    </row>
    <row r="149" spans="1:16" ht="16.5" thickBot="1">
      <c r="A149" s="3603"/>
      <c r="B149" s="3604" t="s">
        <v>1927</v>
      </c>
      <c r="C149" s="3605">
        <f>+C112</f>
        <v>0</v>
      </c>
      <c r="D149" s="3549" t="s">
        <v>1926</v>
      </c>
      <c r="E149" s="3521"/>
      <c r="F149" s="3521"/>
      <c r="G149" s="3584"/>
    </row>
    <row r="150" spans="1:16" ht="6.95" customHeight="1">
      <c r="A150" s="3584"/>
      <c r="B150" s="3584"/>
      <c r="C150" s="3584"/>
      <c r="D150" s="3521"/>
      <c r="E150" s="3521"/>
      <c r="F150" s="3521"/>
      <c r="G150" s="3584"/>
    </row>
    <row r="151" spans="1:16" ht="48" thickBot="1">
      <c r="A151" s="3584"/>
      <c r="B151" s="3606"/>
      <c r="C151" s="3607" t="s">
        <v>1925</v>
      </c>
      <c r="D151" s="3608" t="s">
        <v>1924</v>
      </c>
      <c r="E151" s="3607" t="s">
        <v>1923</v>
      </c>
      <c r="F151" s="3521"/>
      <c r="H151" s="3609"/>
    </row>
    <row r="152" spans="1:16" ht="15.75">
      <c r="A152" s="3584"/>
      <c r="B152" s="3585" t="s">
        <v>811</v>
      </c>
      <c r="C152" s="3610" t="e">
        <f>E140</f>
        <v>#DIV/0!</v>
      </c>
      <c r="D152" s="3611" t="e">
        <f>'Überleitung 113c'!D48/'Überleitung 113c'!$D$55*Ergebnis!$H$14</f>
        <v>#DIV/0!</v>
      </c>
      <c r="E152" s="3612" t="e">
        <f>D152/C152</f>
        <v>#DIV/0!</v>
      </c>
      <c r="F152" s="3521"/>
      <c r="H152" s="3613"/>
    </row>
    <row r="153" spans="1:16" ht="15.75">
      <c r="A153" s="3584"/>
      <c r="B153" s="3589" t="s">
        <v>812</v>
      </c>
      <c r="C153" s="3614" t="e">
        <f>E141</f>
        <v>#DIV/0!</v>
      </c>
      <c r="D153" s="3615" t="e">
        <f>'Überleitung 113c'!D49/'Überleitung 113c'!$D$55*Ergebnis!$H$14</f>
        <v>#DIV/0!</v>
      </c>
      <c r="E153" s="3616" t="e">
        <f t="shared" ref="E153:E156" si="2">D153/C153</f>
        <v>#DIV/0!</v>
      </c>
      <c r="F153" s="3521"/>
      <c r="H153" s="3613"/>
    </row>
    <row r="154" spans="1:16" ht="15.75">
      <c r="A154" s="3584"/>
      <c r="B154" s="3589" t="s">
        <v>813</v>
      </c>
      <c r="C154" s="3614" t="e">
        <f>E142</f>
        <v>#DIV/0!</v>
      </c>
      <c r="D154" s="3615" t="e">
        <f>'Überleitung 113c'!D50/'Überleitung 113c'!$D$55*Ergebnis!$H$14</f>
        <v>#DIV/0!</v>
      </c>
      <c r="E154" s="3616" t="e">
        <f t="shared" si="2"/>
        <v>#DIV/0!</v>
      </c>
      <c r="F154" s="3521"/>
      <c r="H154" s="3613"/>
    </row>
    <row r="155" spans="1:16" ht="15.75">
      <c r="A155" s="3584"/>
      <c r="B155" s="3589" t="s">
        <v>814</v>
      </c>
      <c r="C155" s="3614" t="e">
        <f>E143</f>
        <v>#DIV/0!</v>
      </c>
      <c r="D155" s="3615" t="e">
        <f>'Überleitung 113c'!D51/'Überleitung 113c'!$D$55*Ergebnis!$H$14</f>
        <v>#DIV/0!</v>
      </c>
      <c r="E155" s="3616" t="e">
        <f t="shared" si="2"/>
        <v>#DIV/0!</v>
      </c>
      <c r="F155" s="3521"/>
      <c r="H155" s="3613"/>
    </row>
    <row r="156" spans="1:16" ht="16.5" thickBot="1">
      <c r="A156" s="3584"/>
      <c r="B156" s="3593" t="s">
        <v>815</v>
      </c>
      <c r="C156" s="3617" t="e">
        <f>E144</f>
        <v>#DIV/0!</v>
      </c>
      <c r="D156" s="3618" t="e">
        <f>'Überleitung 113c'!D52/'Überleitung 113c'!$D$55*Ergebnis!$H$14</f>
        <v>#DIV/0!</v>
      </c>
      <c r="E156" s="3619" t="e">
        <f t="shared" si="2"/>
        <v>#DIV/0!</v>
      </c>
      <c r="F156" s="3521"/>
      <c r="H156" s="3613"/>
    </row>
    <row r="157" spans="1:16" ht="15.75">
      <c r="A157" s="3584"/>
      <c r="B157" s="3620" t="s">
        <v>32</v>
      </c>
      <c r="C157" s="3621"/>
      <c r="D157" s="3622" t="e">
        <f>SUM(D152:D156)</f>
        <v>#DIV/0!</v>
      </c>
      <c r="E157" s="3623" t="e">
        <f>SUM(E152:E156)</f>
        <v>#DIV/0!</v>
      </c>
      <c r="F157" s="3521"/>
      <c r="H157" s="3624"/>
    </row>
    <row r="158" spans="1:16">
      <c r="A158" s="3584"/>
      <c r="B158" s="3625" t="s">
        <v>33</v>
      </c>
      <c r="C158" s="3626"/>
      <c r="D158" s="3627" t="e">
        <f>D157/C149</f>
        <v>#DIV/0!</v>
      </c>
      <c r="E158" s="3628"/>
      <c r="F158" s="3521"/>
      <c r="G158" s="3584"/>
    </row>
    <row r="159" spans="1:16">
      <c r="A159" s="3584"/>
      <c r="B159" s="3629" t="s">
        <v>1922</v>
      </c>
      <c r="C159" s="3630"/>
      <c r="D159" s="3631">
        <f>B124</f>
        <v>0</v>
      </c>
      <c r="E159" s="3632"/>
      <c r="F159" s="3521"/>
      <c r="G159" s="3584"/>
    </row>
    <row r="160" spans="1:16">
      <c r="A160" s="3584"/>
      <c r="B160" s="3629" t="s">
        <v>1921</v>
      </c>
      <c r="C160" s="3630"/>
      <c r="D160" s="3633" t="e">
        <f>C113</f>
        <v>#DIV/0!</v>
      </c>
      <c r="E160" s="3630"/>
      <c r="F160" s="3521"/>
      <c r="G160" s="3584"/>
    </row>
    <row r="161" spans="1:7" ht="15.75">
      <c r="A161" s="3584"/>
      <c r="B161" s="3634" t="s">
        <v>1920</v>
      </c>
      <c r="C161" s="3635"/>
      <c r="D161" s="3636" t="e">
        <f>+D158</f>
        <v>#DIV/0!</v>
      </c>
      <c r="E161" s="3637" t="e">
        <f>IF(D158&gt;100%,"Belegungsangaben stimmen nicht mit der aktuellen Platzzahl überein",D159/D160*D158)</f>
        <v>#DIV/0!</v>
      </c>
      <c r="F161" s="3521"/>
      <c r="G161" s="3638"/>
    </row>
    <row r="162" spans="1:7" ht="16.5" thickBot="1">
      <c r="A162" s="3599"/>
      <c r="B162" s="3521"/>
      <c r="C162" s="3521"/>
      <c r="D162" s="3521"/>
      <c r="E162" s="3521"/>
      <c r="F162" s="3521"/>
      <c r="G162" s="3584"/>
    </row>
    <row r="163" spans="1:7" ht="15.75">
      <c r="A163" s="3584"/>
      <c r="B163" s="3639" t="s">
        <v>1919</v>
      </c>
      <c r="C163" s="3640"/>
      <c r="D163" s="3640"/>
      <c r="E163" s="3641"/>
      <c r="F163" s="3602"/>
      <c r="G163" s="3584"/>
    </row>
    <row r="164" spans="1:7" ht="16.5" thickBot="1">
      <c r="A164" s="3642"/>
      <c r="B164" s="3643" t="s">
        <v>1918</v>
      </c>
      <c r="C164" s="3644"/>
      <c r="D164" s="3644"/>
      <c r="E164" s="3645" t="e">
        <f>E161+E157</f>
        <v>#DIV/0!</v>
      </c>
      <c r="F164" s="3602"/>
      <c r="G164" s="3584"/>
    </row>
  </sheetData>
  <sheetProtection sheet="1" objects="1" scenarios="1"/>
  <mergeCells count="5">
    <mergeCell ref="A54:G54"/>
    <mergeCell ref="A96:G96"/>
    <mergeCell ref="B104:G104"/>
    <mergeCell ref="B114:G114"/>
    <mergeCell ref="D139:E139"/>
  </mergeCells>
  <printOptions horizontalCentered="1"/>
  <pageMargins left="0.70866141732283472" right="0.70866141732283472" top="0.78740157480314965" bottom="0.78740157480314965" header="0.31496062992125984" footer="0.31496062992125984"/>
  <pageSetup paperSize="9" scale="75" fitToHeight="2" orientation="portrait" r:id="rId1"/>
  <headerFooter>
    <oddFooter>&amp;C&amp;F
&amp;P von &amp;N</oddFooter>
  </headerFooter>
  <rowBreaks count="3" manualBreakCount="3">
    <brk id="57" max="6" man="1"/>
    <brk id="93" max="6" man="1"/>
    <brk id="146" max="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pageSetUpPr fitToPage="1"/>
  </sheetPr>
  <dimension ref="A1:R86"/>
  <sheetViews>
    <sheetView topLeftCell="A41" workbookViewId="0">
      <selection activeCell="A70" sqref="A70"/>
    </sheetView>
  </sheetViews>
  <sheetFormatPr baseColWidth="10" defaultColWidth="11.42578125" defaultRowHeight="15"/>
  <cols>
    <col min="1" max="7" width="15.28515625" style="4035" customWidth="1"/>
    <col min="8" max="8" width="11.42578125" style="4035"/>
    <col min="9" max="9" width="43.140625" style="4035" customWidth="1"/>
    <col min="10" max="10" width="16.7109375" style="4035" customWidth="1"/>
    <col min="11" max="11" width="23.42578125" style="4035" customWidth="1"/>
    <col min="12" max="12" width="11.42578125" style="4035" customWidth="1"/>
    <col min="13" max="13" width="11.42578125" style="4035"/>
    <col min="14" max="14" width="13.7109375" style="4035" customWidth="1"/>
    <col min="15" max="16384" width="11.42578125" style="4035"/>
  </cols>
  <sheetData>
    <row r="1" spans="1:14">
      <c r="A1" s="4032"/>
      <c r="B1" s="4033"/>
      <c r="C1" s="4033"/>
      <c r="D1" s="4033"/>
      <c r="E1" s="4033"/>
      <c r="F1" s="4033"/>
      <c r="G1" s="4034"/>
      <c r="I1" s="4247" t="s">
        <v>2356</v>
      </c>
      <c r="J1" s="4248"/>
      <c r="K1" s="4249"/>
    </row>
    <row r="2" spans="1:14" s="4040" customFormat="1" ht="18" customHeight="1">
      <c r="A2" s="4036" t="s">
        <v>2357</v>
      </c>
      <c r="B2" s="4037"/>
      <c r="C2" s="4038"/>
      <c r="D2" s="4038"/>
      <c r="E2" s="4038"/>
      <c r="F2" s="4038"/>
      <c r="G2" s="4039"/>
      <c r="I2" s="4250"/>
      <c r="J2" s="4251"/>
      <c r="K2" s="4252"/>
      <c r="L2" s="4041"/>
      <c r="M2" s="4041"/>
      <c r="N2" s="4041"/>
    </row>
    <row r="3" spans="1:14" s="4040" customFormat="1" ht="18" customHeight="1">
      <c r="A3" s="4042" t="s">
        <v>2358</v>
      </c>
      <c r="B3" s="4043"/>
      <c r="C3" s="4044"/>
      <c r="D3" s="4044"/>
      <c r="E3" s="4044"/>
      <c r="F3" s="4044"/>
      <c r="G3" s="4045"/>
      <c r="I3" s="3829" t="s">
        <v>2359</v>
      </c>
      <c r="J3" s="4046"/>
      <c r="K3" s="4047"/>
      <c r="L3" s="4048"/>
      <c r="M3" s="4048"/>
      <c r="N3" s="4048"/>
    </row>
    <row r="4" spans="1:14" s="4040" customFormat="1" ht="13.9" customHeight="1" thickBot="1">
      <c r="A4" s="4049"/>
      <c r="B4" s="4050"/>
      <c r="C4" s="4051"/>
      <c r="D4" s="4051"/>
      <c r="E4" s="4051"/>
      <c r="F4" s="4051"/>
      <c r="G4" s="4052"/>
      <c r="I4" s="4053"/>
      <c r="J4" s="4054"/>
      <c r="K4" s="4055"/>
      <c r="L4" s="4056"/>
      <c r="M4" s="4056"/>
      <c r="N4" s="4056"/>
    </row>
    <row r="5" spans="1:14" s="4040" customFormat="1" ht="15" customHeight="1">
      <c r="A5" s="4253" t="s">
        <v>2465</v>
      </c>
      <c r="B5" s="4253"/>
      <c r="C5" s="4253"/>
      <c r="D5" s="4253"/>
      <c r="E5" s="4253"/>
      <c r="F5" s="4253"/>
      <c r="G5" s="4253"/>
      <c r="I5" s="4053" t="s">
        <v>1950</v>
      </c>
      <c r="J5" s="3916"/>
      <c r="K5" s="4055"/>
      <c r="L5" s="4056"/>
      <c r="M5" s="4056"/>
      <c r="N5" s="4056"/>
    </row>
    <row r="6" spans="1:14" s="4040" customFormat="1" ht="15" customHeight="1">
      <c r="A6" s="4058"/>
      <c r="B6" s="4059"/>
      <c r="C6" s="4060"/>
      <c r="D6" s="4060"/>
      <c r="E6" s="4060"/>
      <c r="F6" s="4060"/>
      <c r="G6" s="4061"/>
      <c r="I6" s="4053" t="s">
        <v>2049</v>
      </c>
      <c r="J6" s="3916"/>
      <c r="K6" s="4135">
        <f>IF(J6&gt;0,J6/SUM(J6:J7),0%)</f>
        <v>0</v>
      </c>
      <c r="L6" s="4056"/>
      <c r="M6" s="4056"/>
      <c r="N6" s="4056"/>
    </row>
    <row r="7" spans="1:14" s="4040" customFormat="1" ht="15" customHeight="1">
      <c r="A7" s="4062" t="s">
        <v>2360</v>
      </c>
      <c r="B7" s="4043"/>
      <c r="C7" s="4063"/>
      <c r="D7" s="4063"/>
      <c r="E7" s="4063"/>
      <c r="F7" s="4063"/>
      <c r="G7" s="4064"/>
      <c r="I7" s="4065" t="s">
        <v>2086</v>
      </c>
      <c r="J7" s="3916"/>
      <c r="K7" s="4135">
        <f>IF(J7&gt;0,J7/SUM(J6:J7),0%)</f>
        <v>0</v>
      </c>
      <c r="L7" s="4056"/>
      <c r="M7" s="4056"/>
      <c r="N7" s="4056"/>
    </row>
    <row r="8" spans="1:14" s="4040" customFormat="1" ht="15" customHeight="1">
      <c r="A8" s="4062"/>
      <c r="B8" s="4043"/>
      <c r="C8" s="4063"/>
      <c r="D8" s="4063"/>
      <c r="E8" s="4063"/>
      <c r="F8" s="4063"/>
      <c r="G8" s="4064"/>
      <c r="I8" s="4065" t="s">
        <v>2050</v>
      </c>
      <c r="J8" s="3916"/>
      <c r="K8" s="4135">
        <f>IF(J8&gt;0,J8/SUM(J8:J10),0%)</f>
        <v>0</v>
      </c>
      <c r="L8" s="4056"/>
      <c r="M8" s="4056"/>
      <c r="N8" s="4056"/>
    </row>
    <row r="9" spans="1:14" s="4040" customFormat="1" ht="15" customHeight="1">
      <c r="A9" s="4066" t="s">
        <v>1950</v>
      </c>
      <c r="B9" s="4067"/>
      <c r="C9" s="3915"/>
      <c r="D9" s="4063"/>
      <c r="E9" s="4063"/>
      <c r="F9" s="4063"/>
      <c r="G9" s="4064"/>
      <c r="I9" s="4065" t="s">
        <v>2082</v>
      </c>
      <c r="J9" s="3916"/>
      <c r="K9" s="4135">
        <f>IF(J9&gt;0,J9/SUM(J8:J10),0%)</f>
        <v>0</v>
      </c>
      <c r="L9" s="4056"/>
      <c r="M9" s="4056"/>
      <c r="N9" s="4056"/>
    </row>
    <row r="10" spans="1:14" s="4040" customFormat="1" ht="15" customHeight="1">
      <c r="A10" s="4066" t="s">
        <v>1948</v>
      </c>
      <c r="B10" s="4067"/>
      <c r="C10" s="3915"/>
      <c r="D10" s="4063"/>
      <c r="E10" s="4063"/>
      <c r="F10" s="4063"/>
      <c r="G10" s="4064"/>
      <c r="I10" s="4065" t="s">
        <v>2083</v>
      </c>
      <c r="J10" s="3916"/>
      <c r="K10" s="4135">
        <f>IF(J10&gt;0,J10/SUM(J8:J10),0%)</f>
        <v>0</v>
      </c>
      <c r="L10" s="4056"/>
      <c r="M10" s="4056"/>
      <c r="N10" s="4056"/>
    </row>
    <row r="11" spans="1:14" s="4040" customFormat="1" ht="15" customHeight="1">
      <c r="A11" s="4066" t="s">
        <v>2361</v>
      </c>
      <c r="B11" s="4067"/>
      <c r="C11" s="3915"/>
      <c r="D11" s="4063"/>
      <c r="E11" s="4063"/>
      <c r="F11" s="4063"/>
      <c r="G11" s="4064"/>
      <c r="I11" s="4053" t="s">
        <v>2051</v>
      </c>
      <c r="J11" s="4057"/>
      <c r="K11" s="4055"/>
      <c r="L11" s="4056"/>
      <c r="M11" s="4056"/>
      <c r="N11" s="4056"/>
    </row>
    <row r="12" spans="1:14" s="4040" customFormat="1" ht="15" customHeight="1">
      <c r="A12" s="4068"/>
      <c r="B12" s="4069"/>
      <c r="C12" s="4070"/>
      <c r="D12" s="4070"/>
      <c r="E12" s="4070"/>
      <c r="F12" s="4070"/>
      <c r="G12" s="4071"/>
      <c r="I12" s="4053" t="s">
        <v>2052</v>
      </c>
      <c r="J12" s="4057"/>
      <c r="K12" s="4055"/>
      <c r="L12" s="4056"/>
      <c r="M12" s="4056"/>
      <c r="N12" s="4056"/>
    </row>
    <row r="13" spans="1:14" s="4040" customFormat="1" ht="15" customHeight="1">
      <c r="A13" s="4043"/>
      <c r="B13" s="4043"/>
      <c r="C13" s="4063"/>
      <c r="D13" s="4063"/>
      <c r="E13" s="4063"/>
      <c r="F13" s="4063"/>
      <c r="G13" s="4063"/>
      <c r="I13" s="4053"/>
      <c r="J13" s="4072">
        <f>SUM(J5:J12)</f>
        <v>0</v>
      </c>
      <c r="K13" s="4055"/>
      <c r="L13" s="4056"/>
      <c r="M13" s="4056"/>
      <c r="N13" s="4056"/>
    </row>
    <row r="14" spans="1:14">
      <c r="A14" s="4073" t="s">
        <v>2362</v>
      </c>
      <c r="B14" s="4074"/>
      <c r="C14" s="4075"/>
      <c r="D14" s="4075"/>
      <c r="E14" s="4075"/>
      <c r="F14" s="4075"/>
      <c r="G14" s="4076"/>
      <c r="I14" s="4077"/>
      <c r="J14" s="4078"/>
      <c r="K14" s="4079"/>
      <c r="L14" s="4080"/>
      <c r="M14" s="4080"/>
      <c r="N14" s="4080"/>
    </row>
    <row r="15" spans="1:14" ht="15" customHeight="1">
      <c r="A15" s="4081"/>
      <c r="B15" s="4082"/>
      <c r="C15" s="4082"/>
      <c r="D15" s="4082"/>
      <c r="E15" s="4082"/>
      <c r="F15" s="4082"/>
      <c r="G15" s="4083"/>
      <c r="I15" s="4080"/>
      <c r="J15" s="4080"/>
      <c r="K15" s="4080"/>
      <c r="L15" s="4080"/>
      <c r="M15" s="4080"/>
      <c r="N15" s="4080"/>
    </row>
    <row r="16" spans="1:14">
      <c r="A16" s="4084" t="s">
        <v>2363</v>
      </c>
      <c r="B16" s="4085"/>
      <c r="C16" s="4086"/>
      <c r="D16" s="4086"/>
      <c r="E16" s="4085" t="s">
        <v>2471</v>
      </c>
      <c r="F16" s="4085"/>
      <c r="G16" s="4087"/>
      <c r="I16" s="4080"/>
      <c r="J16" s="4088"/>
      <c r="K16" s="4088"/>
      <c r="L16" s="4080"/>
      <c r="M16" s="4080"/>
      <c r="N16" s="4080"/>
    </row>
    <row r="17" spans="1:18">
      <c r="A17" s="4089"/>
      <c r="B17" s="4086"/>
      <c r="C17" s="4086"/>
      <c r="D17" s="4086"/>
      <c r="E17" s="4086"/>
      <c r="F17" s="4086"/>
      <c r="G17" s="4087"/>
      <c r="I17" s="4080"/>
      <c r="J17" s="4080"/>
      <c r="K17" s="4080"/>
      <c r="L17" s="4080"/>
      <c r="M17" s="4080"/>
      <c r="N17" s="4090"/>
    </row>
    <row r="18" spans="1:18">
      <c r="A18" s="4089" t="s">
        <v>1950</v>
      </c>
      <c r="B18" s="4086"/>
      <c r="C18" s="4091">
        <f>C9</f>
        <v>0</v>
      </c>
      <c r="D18" s="4086"/>
      <c r="E18" s="4086" t="s">
        <v>2365</v>
      </c>
      <c r="F18" s="4086"/>
      <c r="G18" s="4092"/>
      <c r="H18" s="4093"/>
      <c r="I18" s="4080"/>
      <c r="J18" s="4080"/>
      <c r="K18" s="4080"/>
      <c r="L18" s="4080"/>
      <c r="M18" s="4080"/>
      <c r="N18" s="4080"/>
    </row>
    <row r="19" spans="1:18">
      <c r="A19" s="4089" t="s">
        <v>2366</v>
      </c>
      <c r="B19" s="4086"/>
      <c r="C19" s="4094">
        <f>IF(K8=1,C11,C11*K8)</f>
        <v>0</v>
      </c>
      <c r="D19" s="4086"/>
      <c r="E19" s="4086" t="s">
        <v>2367</v>
      </c>
      <c r="F19" s="4086"/>
      <c r="G19" s="4095"/>
      <c r="H19" s="4093"/>
      <c r="I19" s="4080"/>
      <c r="J19" s="4080"/>
      <c r="K19" s="4080"/>
      <c r="L19" s="4080"/>
      <c r="M19" s="4080"/>
      <c r="N19" s="4080"/>
    </row>
    <row r="20" spans="1:18">
      <c r="A20" s="4089" t="s">
        <v>2051</v>
      </c>
      <c r="B20" s="4086"/>
      <c r="C20" s="4096"/>
      <c r="D20" s="4080"/>
      <c r="E20" s="4086" t="s">
        <v>2051</v>
      </c>
      <c r="F20" s="4086"/>
      <c r="G20" s="4095"/>
      <c r="H20" s="4097"/>
      <c r="I20" s="4080"/>
      <c r="J20" s="4080"/>
      <c r="K20" s="4080"/>
      <c r="L20" s="4080"/>
      <c r="M20" s="4080"/>
      <c r="N20" s="4080"/>
      <c r="O20" s="4097"/>
      <c r="P20" s="4097"/>
      <c r="Q20" s="4097"/>
      <c r="R20" s="4097"/>
    </row>
    <row r="21" spans="1:18">
      <c r="A21" s="4089" t="s">
        <v>2368</v>
      </c>
      <c r="B21" s="4086"/>
      <c r="C21" s="4096">
        <f>-SUM(Ergebnis!C23:C24)</f>
        <v>-0.75</v>
      </c>
      <c r="D21" s="4080"/>
      <c r="E21" s="4086" t="s">
        <v>2368</v>
      </c>
      <c r="F21" s="4086"/>
      <c r="G21" s="4098"/>
      <c r="I21" s="4080"/>
      <c r="J21" s="4080"/>
      <c r="K21" s="4080"/>
      <c r="L21" s="4080"/>
      <c r="M21" s="4080"/>
      <c r="N21" s="4080"/>
    </row>
    <row r="22" spans="1:18">
      <c r="A22" s="4089"/>
      <c r="B22" s="4086"/>
      <c r="C22" s="4099">
        <f>SUM(C18:C21)</f>
        <v>-0.75</v>
      </c>
      <c r="D22" s="4086"/>
      <c r="E22" s="4086"/>
      <c r="F22" s="4086"/>
      <c r="G22" s="4100">
        <f>SUM(G18:G21)</f>
        <v>0</v>
      </c>
      <c r="I22" s="4080"/>
      <c r="J22" s="4080"/>
      <c r="K22" s="4080"/>
      <c r="L22" s="4080"/>
      <c r="M22" s="4080"/>
      <c r="N22" s="4080"/>
    </row>
    <row r="23" spans="1:18">
      <c r="A23" s="4089"/>
      <c r="B23" s="4086"/>
      <c r="C23" s="4101"/>
      <c r="D23" s="4086"/>
      <c r="E23" s="4086"/>
      <c r="F23" s="4086"/>
      <c r="G23" s="4087"/>
      <c r="I23" s="4080"/>
      <c r="J23" s="4080"/>
      <c r="K23" s="4080"/>
      <c r="L23" s="4080"/>
      <c r="M23" s="4080"/>
      <c r="N23" s="4080"/>
    </row>
    <row r="24" spans="1:18">
      <c r="A24" s="4084" t="s">
        <v>2369</v>
      </c>
      <c r="B24" s="4085"/>
      <c r="C24" s="4086"/>
      <c r="D24" s="4086"/>
      <c r="E24" s="4086"/>
      <c r="F24" s="4086"/>
      <c r="G24" s="4100">
        <f>IF(G22&lt;=C22,G22,C22)</f>
        <v>-0.75</v>
      </c>
      <c r="I24" s="4080"/>
      <c r="J24" s="4080"/>
      <c r="K24" s="4080"/>
      <c r="L24" s="4080"/>
      <c r="M24" s="4080"/>
      <c r="N24" s="4080"/>
    </row>
    <row r="25" spans="1:18" ht="15" customHeight="1">
      <c r="A25" s="4102"/>
      <c r="B25" s="4103"/>
      <c r="C25" s="4103"/>
      <c r="D25" s="4103"/>
      <c r="E25" s="4103"/>
      <c r="F25" s="4103"/>
      <c r="G25" s="4104"/>
      <c r="I25" s="4080"/>
      <c r="J25" s="4080"/>
      <c r="K25" s="4080"/>
      <c r="L25" s="4080"/>
      <c r="M25" s="4080"/>
      <c r="N25" s="4080"/>
    </row>
    <row r="26" spans="1:18">
      <c r="A26" s="4105" t="str">
        <f>IF(C11&lt;&gt;SUM(C19,C32,C44),"Gesamtpersonalmenge Soz. Dienst &lt;&gt; Vereinbarungsstand 30.06.2023! Angaben überprüfen!","")</f>
        <v/>
      </c>
      <c r="B26" s="4086"/>
      <c r="C26" s="4086"/>
      <c r="D26" s="4086"/>
      <c r="E26" s="4086"/>
      <c r="F26" s="4086"/>
      <c r="G26" s="4086"/>
      <c r="I26" s="4080"/>
      <c r="J26" s="4080"/>
      <c r="K26" s="4080"/>
      <c r="L26" s="4080"/>
      <c r="M26" s="4080"/>
      <c r="N26" s="4080"/>
    </row>
    <row r="27" spans="1:18">
      <c r="A27" s="4073" t="s">
        <v>2409</v>
      </c>
      <c r="B27" s="4074"/>
      <c r="C27" s="4106"/>
      <c r="D27" s="4075"/>
      <c r="E27" s="4075"/>
      <c r="F27" s="4075"/>
      <c r="G27" s="4076"/>
      <c r="I27" s="4080"/>
      <c r="J27" s="4080"/>
      <c r="K27" s="4080"/>
      <c r="L27" s="4080"/>
      <c r="M27" s="4080"/>
      <c r="N27" s="4080"/>
    </row>
    <row r="28" spans="1:18">
      <c r="A28" s="4081"/>
      <c r="B28" s="4082"/>
      <c r="C28" s="4107"/>
      <c r="D28" s="4082"/>
      <c r="E28" s="4082"/>
      <c r="F28" s="4082"/>
      <c r="G28" s="4083"/>
      <c r="I28" s="4080"/>
      <c r="J28" s="4080"/>
      <c r="K28" s="4080"/>
      <c r="L28" s="4080"/>
      <c r="M28" s="4080"/>
      <c r="N28" s="4080"/>
    </row>
    <row r="29" spans="1:18">
      <c r="A29" s="4084" t="s">
        <v>2363</v>
      </c>
      <c r="B29" s="4085"/>
      <c r="C29" s="4086"/>
      <c r="D29" s="4086"/>
      <c r="E29" s="4085" t="s">
        <v>2471</v>
      </c>
      <c r="F29" s="4085"/>
      <c r="G29" s="4087"/>
      <c r="I29" s="4080"/>
      <c r="J29" s="4080"/>
      <c r="K29" s="4080"/>
      <c r="L29" s="4080"/>
      <c r="M29" s="4080"/>
      <c r="N29" s="4080"/>
    </row>
    <row r="30" spans="1:18">
      <c r="A30" s="4089"/>
      <c r="B30" s="4086"/>
      <c r="C30" s="4086"/>
      <c r="D30" s="4086"/>
      <c r="E30" s="4086"/>
      <c r="F30" s="4086"/>
      <c r="G30" s="4087"/>
      <c r="I30" s="4080"/>
      <c r="J30" s="4080"/>
      <c r="K30" s="4080"/>
      <c r="L30" s="4080"/>
      <c r="M30" s="4080"/>
      <c r="N30" s="4080"/>
    </row>
    <row r="31" spans="1:18">
      <c r="A31" s="4108" t="s">
        <v>2412</v>
      </c>
      <c r="B31" s="4086"/>
      <c r="C31" s="4109">
        <f>IF(K7=0,0,C10*K7)</f>
        <v>0</v>
      </c>
      <c r="D31" s="4086"/>
      <c r="E31" s="4080" t="s">
        <v>2415</v>
      </c>
      <c r="F31" s="4086"/>
      <c r="G31" s="4092"/>
      <c r="I31" s="4080"/>
      <c r="J31" s="4080"/>
      <c r="K31" s="4080"/>
      <c r="L31" s="4080"/>
      <c r="M31" s="4080"/>
      <c r="N31" s="4080"/>
    </row>
    <row r="32" spans="1:18">
      <c r="A32" s="4108" t="s">
        <v>2413</v>
      </c>
      <c r="B32" s="4086"/>
      <c r="C32" s="4094">
        <f>IF(K10=0,0,C11*K10)</f>
        <v>0</v>
      </c>
      <c r="D32" s="4086"/>
      <c r="E32" s="4080" t="s">
        <v>2416</v>
      </c>
      <c r="F32" s="4086"/>
      <c r="G32" s="4095"/>
      <c r="I32" s="4080"/>
      <c r="J32" s="4080"/>
      <c r="K32" s="4080"/>
      <c r="L32" s="4080"/>
      <c r="M32" s="4080"/>
      <c r="N32" s="4080"/>
    </row>
    <row r="33" spans="1:14">
      <c r="A33" s="4089" t="s">
        <v>2052</v>
      </c>
      <c r="B33" s="4086"/>
      <c r="C33" s="4096"/>
      <c r="D33" s="4080"/>
      <c r="E33" s="4086" t="s">
        <v>2052</v>
      </c>
      <c r="F33" s="4086"/>
      <c r="G33" s="4095"/>
      <c r="I33" s="4080"/>
      <c r="J33" s="4080"/>
      <c r="K33" s="4080"/>
      <c r="L33" s="4080"/>
      <c r="M33" s="4080"/>
      <c r="N33" s="4080"/>
    </row>
    <row r="34" spans="1:14">
      <c r="A34" s="4089"/>
      <c r="B34" s="4086"/>
      <c r="C34" s="4099">
        <f>SUM(C31:C33)</f>
        <v>0</v>
      </c>
      <c r="D34" s="4086"/>
      <c r="E34" s="4086"/>
      <c r="F34" s="4086"/>
      <c r="G34" s="4100">
        <f>SUM(G31:G33)</f>
        <v>0</v>
      </c>
      <c r="I34" s="4080"/>
      <c r="J34" s="4080"/>
      <c r="K34" s="4080"/>
      <c r="L34" s="4080"/>
      <c r="M34" s="4080"/>
      <c r="N34" s="4080"/>
    </row>
    <row r="35" spans="1:14">
      <c r="A35" s="4089"/>
      <c r="B35" s="4086"/>
      <c r="C35" s="4086"/>
      <c r="D35" s="4086"/>
      <c r="E35" s="4086"/>
      <c r="F35" s="4086"/>
      <c r="G35" s="4087"/>
      <c r="I35" s="4080"/>
      <c r="J35" s="4080"/>
      <c r="K35" s="4080"/>
      <c r="L35" s="4080"/>
      <c r="M35" s="4080"/>
      <c r="N35" s="4080"/>
    </row>
    <row r="36" spans="1:14">
      <c r="A36" s="4084" t="s">
        <v>2410</v>
      </c>
      <c r="B36" s="4085"/>
      <c r="C36" s="4101"/>
      <c r="D36" s="4086"/>
      <c r="E36" s="4086"/>
      <c r="F36" s="4086"/>
      <c r="G36" s="4100">
        <f>IF(G34&lt;=C34,G34,C34)</f>
        <v>0</v>
      </c>
      <c r="I36" s="4080"/>
      <c r="J36" s="4080"/>
      <c r="K36" s="4080"/>
      <c r="L36" s="4080"/>
      <c r="M36" s="4080"/>
      <c r="N36" s="4080"/>
    </row>
    <row r="37" spans="1:14">
      <c r="A37" s="4102"/>
      <c r="B37" s="4103"/>
      <c r="C37" s="4110"/>
      <c r="D37" s="4103"/>
      <c r="E37" s="4103"/>
      <c r="F37" s="4103"/>
      <c r="G37" s="4104"/>
      <c r="I37" s="4080"/>
      <c r="J37" s="4080"/>
      <c r="K37" s="4080"/>
      <c r="L37" s="4080"/>
      <c r="M37" s="4080"/>
      <c r="N37" s="4080"/>
    </row>
    <row r="38" spans="1:14">
      <c r="A38" s="4105"/>
      <c r="B38" s="4086"/>
      <c r="C38" s="4086"/>
      <c r="D38" s="4086"/>
      <c r="E38" s="4086"/>
      <c r="F38" s="4086"/>
      <c r="G38" s="4086"/>
      <c r="I38" s="4080"/>
      <c r="J38" s="4080"/>
      <c r="K38" s="4080"/>
      <c r="L38" s="4080"/>
      <c r="M38" s="4080"/>
      <c r="N38" s="4080"/>
    </row>
    <row r="39" spans="1:14">
      <c r="A39" s="4073" t="s">
        <v>2411</v>
      </c>
      <c r="B39" s="4074"/>
      <c r="C39" s="4106"/>
      <c r="D39" s="4075"/>
      <c r="E39" s="4075"/>
      <c r="F39" s="4075"/>
      <c r="G39" s="4076"/>
      <c r="I39" s="4080"/>
      <c r="J39" s="4080"/>
      <c r="K39" s="4080"/>
      <c r="L39" s="4080"/>
      <c r="M39" s="4080"/>
      <c r="N39" s="4111"/>
    </row>
    <row r="40" spans="1:14" ht="15" customHeight="1">
      <c r="A40" s="4081"/>
      <c r="B40" s="4082"/>
      <c r="C40" s="4107"/>
      <c r="D40" s="4082"/>
      <c r="E40" s="4082"/>
      <c r="F40" s="4082"/>
      <c r="G40" s="4083"/>
      <c r="I40" s="4080"/>
      <c r="J40" s="4080"/>
      <c r="K40" s="4080"/>
      <c r="L40" s="4080"/>
      <c r="M40" s="4080"/>
      <c r="N40" s="4080"/>
    </row>
    <row r="41" spans="1:14">
      <c r="A41" s="4084" t="s">
        <v>2363</v>
      </c>
      <c r="B41" s="4085"/>
      <c r="C41" s="4086"/>
      <c r="D41" s="4086"/>
      <c r="E41" s="4085" t="s">
        <v>2471</v>
      </c>
      <c r="F41" s="4085"/>
      <c r="G41" s="4087"/>
      <c r="I41" s="4086"/>
      <c r="J41" s="4086"/>
      <c r="K41" s="4086"/>
      <c r="L41" s="4086"/>
      <c r="M41" s="4086"/>
      <c r="N41" s="4086"/>
    </row>
    <row r="42" spans="1:14">
      <c r="A42" s="4089"/>
      <c r="B42" s="4086"/>
      <c r="C42" s="4086"/>
      <c r="D42" s="4086"/>
      <c r="E42" s="4086"/>
      <c r="F42" s="4086"/>
      <c r="G42" s="4087"/>
      <c r="I42" s="4086"/>
      <c r="J42" s="4086"/>
      <c r="K42" s="4086"/>
      <c r="L42" s="4086"/>
      <c r="M42" s="4086"/>
      <c r="N42" s="4086"/>
    </row>
    <row r="43" spans="1:14">
      <c r="A43" s="4108" t="s">
        <v>2417</v>
      </c>
      <c r="B43" s="4086"/>
      <c r="C43" s="4091">
        <f>IF(K6=0,0,C10*K6)</f>
        <v>0</v>
      </c>
      <c r="D43" s="4086"/>
      <c r="E43" s="4086" t="s">
        <v>2370</v>
      </c>
      <c r="F43" s="4086"/>
      <c r="G43" s="4092"/>
      <c r="I43" s="4086"/>
      <c r="J43" s="4086"/>
      <c r="K43" s="4086"/>
      <c r="L43" s="4086"/>
      <c r="M43" s="4086"/>
      <c r="N43" s="4086"/>
    </row>
    <row r="44" spans="1:14">
      <c r="A44" s="4108" t="s">
        <v>2414</v>
      </c>
      <c r="B44" s="4086"/>
      <c r="C44" s="4094">
        <f>IF(K8=1,0,C11*K9)</f>
        <v>0</v>
      </c>
      <c r="D44" s="4086"/>
      <c r="E44" s="4086" t="s">
        <v>2371</v>
      </c>
      <c r="F44" s="4086"/>
      <c r="G44" s="4095"/>
      <c r="H44" s="4093"/>
      <c r="I44" s="4086"/>
      <c r="J44" s="4086"/>
      <c r="K44" s="4086"/>
      <c r="L44" s="4086"/>
      <c r="M44" s="4086"/>
      <c r="N44" s="4086"/>
    </row>
    <row r="45" spans="1:14">
      <c r="A45" s="4089" t="s">
        <v>2052</v>
      </c>
      <c r="B45" s="4086"/>
      <c r="C45" s="4096"/>
      <c r="D45" s="4080"/>
      <c r="E45" s="4086" t="s">
        <v>2052</v>
      </c>
      <c r="F45" s="4086"/>
      <c r="G45" s="4095"/>
      <c r="H45" s="4093"/>
      <c r="I45" s="4086"/>
      <c r="J45" s="4086"/>
      <c r="K45" s="4086"/>
      <c r="L45" s="4086"/>
      <c r="M45" s="4086"/>
      <c r="N45" s="4086"/>
    </row>
    <row r="46" spans="1:14">
      <c r="A46" s="4089"/>
      <c r="B46" s="4086"/>
      <c r="C46" s="4099">
        <f>SUM(C43:C45)</f>
        <v>0</v>
      </c>
      <c r="D46" s="4086"/>
      <c r="E46" s="4086"/>
      <c r="F46" s="4086"/>
      <c r="G46" s="4100">
        <f>SUM(G43:G45)</f>
        <v>0</v>
      </c>
      <c r="H46" s="4093"/>
      <c r="I46" s="4086"/>
      <c r="J46" s="4086"/>
      <c r="K46" s="4086"/>
      <c r="L46" s="4086"/>
      <c r="M46" s="4086"/>
      <c r="N46" s="4086"/>
    </row>
    <row r="47" spans="1:14">
      <c r="A47" s="4089"/>
      <c r="B47" s="4086"/>
      <c r="C47" s="4101"/>
      <c r="D47" s="4086"/>
      <c r="E47" s="4086"/>
      <c r="F47" s="4086"/>
      <c r="G47" s="4087"/>
      <c r="I47" s="4086"/>
      <c r="J47" s="4086"/>
      <c r="K47" s="4086"/>
      <c r="L47" s="4086"/>
      <c r="M47" s="4086"/>
      <c r="N47" s="4086"/>
    </row>
    <row r="48" spans="1:14">
      <c r="A48" s="4084" t="s">
        <v>2372</v>
      </c>
      <c r="B48" s="4085"/>
      <c r="C48" s="4101"/>
      <c r="D48" s="4086"/>
      <c r="E48" s="4086"/>
      <c r="F48" s="4086"/>
      <c r="G48" s="4100">
        <f>IF(G46&lt;=C46,G46,C46)</f>
        <v>0</v>
      </c>
      <c r="I48" s="4086"/>
      <c r="J48" s="4086"/>
      <c r="K48" s="4086"/>
      <c r="L48" s="4086"/>
      <c r="M48" s="4086"/>
      <c r="N48" s="4086"/>
    </row>
    <row r="49" spans="1:14" ht="15" customHeight="1">
      <c r="A49" s="4102"/>
      <c r="B49" s="4103"/>
      <c r="C49" s="4110"/>
      <c r="D49" s="4103"/>
      <c r="E49" s="4103"/>
      <c r="F49" s="4103"/>
      <c r="G49" s="4104"/>
      <c r="I49" s="4086"/>
      <c r="J49" s="4086"/>
      <c r="K49" s="4086"/>
      <c r="L49" s="4086"/>
      <c r="M49" s="4086"/>
      <c r="N49" s="4086"/>
    </row>
    <row r="50" spans="1:14">
      <c r="A50" s="4105" t="str">
        <f>IF(J12&lt;&gt;SUM(C33,C45),"Gesamtpersonalmenge QN3 &lt;&gt; Vereinbarungsstand 30.06.2023! Angaben überprüfen!","")</f>
        <v/>
      </c>
      <c r="B50" s="4086"/>
      <c r="C50" s="4101"/>
      <c r="D50" s="4086"/>
      <c r="E50" s="4086"/>
      <c r="F50" s="4086"/>
      <c r="G50" s="4086"/>
      <c r="I50" s="4086"/>
      <c r="J50" s="4086"/>
      <c r="K50" s="4086"/>
      <c r="L50" s="4086"/>
      <c r="M50" s="4086"/>
      <c r="N50" s="4086"/>
    </row>
    <row r="51" spans="1:14">
      <c r="A51" s="4112" t="s">
        <v>2373</v>
      </c>
      <c r="B51" s="4086"/>
      <c r="C51" s="4101"/>
      <c r="D51" s="4086"/>
      <c r="E51" s="4086"/>
      <c r="F51" s="4086"/>
      <c r="G51" s="4086"/>
      <c r="I51" s="4086"/>
      <c r="J51" s="4086"/>
      <c r="K51" s="4086"/>
      <c r="L51" s="4086"/>
      <c r="M51" s="4086"/>
      <c r="N51" s="4086"/>
    </row>
    <row r="52" spans="1:14">
      <c r="A52" s="4112" t="s">
        <v>2374</v>
      </c>
      <c r="B52" s="4113"/>
      <c r="C52" s="4101"/>
      <c r="D52" s="4086"/>
      <c r="E52" s="4086"/>
      <c r="F52" s="4086"/>
      <c r="G52" s="4086"/>
      <c r="J52" s="4086"/>
      <c r="K52" s="4086"/>
      <c r="L52" s="4086"/>
      <c r="M52" s="4086"/>
      <c r="N52" s="4086"/>
    </row>
    <row r="53" spans="1:14">
      <c r="A53" s="4086"/>
      <c r="B53" s="4086"/>
      <c r="C53" s="4101"/>
      <c r="D53" s="4086"/>
      <c r="E53" s="4086"/>
      <c r="F53" s="4086"/>
      <c r="G53" s="4086"/>
      <c r="I53" s="4086"/>
      <c r="J53" s="4086"/>
      <c r="K53" s="4086"/>
      <c r="L53" s="4086"/>
      <c r="M53" s="4086"/>
      <c r="N53" s="4086"/>
    </row>
    <row r="54" spans="1:14" hidden="1">
      <c r="A54" s="3888"/>
      <c r="B54" s="3888"/>
      <c r="C54" s="4114"/>
      <c r="D54" s="4080"/>
      <c r="E54" s="4115"/>
      <c r="F54" s="4136"/>
      <c r="G54" s="4093"/>
      <c r="I54" s="4086"/>
      <c r="J54" s="4086"/>
      <c r="K54" s="4086"/>
      <c r="L54" s="4086"/>
      <c r="M54" s="4086"/>
      <c r="N54" s="4086"/>
    </row>
    <row r="55" spans="1:14" hidden="1">
      <c r="A55" s="3888"/>
      <c r="B55" s="3888"/>
      <c r="C55" s="4114"/>
      <c r="D55" s="4080"/>
      <c r="E55" s="4090"/>
      <c r="F55" s="4136"/>
      <c r="G55" s="4093"/>
      <c r="I55" s="4086"/>
      <c r="J55" s="4086"/>
      <c r="K55" s="4086"/>
      <c r="L55" s="4086"/>
      <c r="M55" s="4086"/>
      <c r="N55" s="4086"/>
    </row>
    <row r="56" spans="1:14" hidden="1">
      <c r="A56" s="4086"/>
      <c r="B56" s="4086"/>
      <c r="C56" s="4101"/>
      <c r="D56" s="4086"/>
      <c r="E56" s="4115"/>
      <c r="F56" s="4136"/>
      <c r="G56" s="4093"/>
      <c r="I56" s="4086"/>
      <c r="J56" s="4086"/>
      <c r="K56" s="4086"/>
      <c r="L56" s="4086"/>
      <c r="M56" s="4086"/>
      <c r="N56" s="4086"/>
    </row>
    <row r="57" spans="1:14" hidden="1">
      <c r="A57" s="4086"/>
      <c r="B57" s="4086"/>
      <c r="C57" s="4101"/>
      <c r="D57" s="4086"/>
      <c r="E57" s="4086"/>
      <c r="F57" s="4086"/>
      <c r="G57" s="4086"/>
      <c r="I57" s="4086"/>
      <c r="J57" s="4086"/>
      <c r="K57" s="4086"/>
      <c r="L57" s="4086"/>
      <c r="M57" s="4086"/>
      <c r="N57" s="4086"/>
    </row>
    <row r="58" spans="1:14">
      <c r="A58" s="3891" t="s">
        <v>2478</v>
      </c>
      <c r="B58" s="3891"/>
      <c r="C58" s="4114"/>
      <c r="D58" s="4080"/>
      <c r="E58" s="4086"/>
      <c r="F58" s="4086"/>
      <c r="G58" s="4086"/>
      <c r="J58" s="4086"/>
      <c r="K58" s="4086"/>
      <c r="L58" s="4086"/>
      <c r="M58" s="4086"/>
      <c r="N58" s="4086"/>
    </row>
    <row r="59" spans="1:14">
      <c r="A59" s="4086"/>
      <c r="B59" s="4086"/>
      <c r="C59" s="4101"/>
      <c r="D59" s="4086"/>
      <c r="E59" s="4086"/>
      <c r="F59" s="4086"/>
      <c r="G59" s="4086"/>
      <c r="I59" s="4086"/>
      <c r="J59" s="4086"/>
      <c r="K59" s="4086"/>
      <c r="L59" s="4086"/>
      <c r="M59" s="4086"/>
      <c r="N59" s="4086"/>
    </row>
    <row r="60" spans="1:14">
      <c r="A60" s="3892" t="s">
        <v>2058</v>
      </c>
      <c r="B60" s="3892" t="s">
        <v>2059</v>
      </c>
      <c r="C60" s="3892" t="s">
        <v>2060</v>
      </c>
      <c r="D60" s="3892" t="s">
        <v>2061</v>
      </c>
      <c r="E60" s="3892" t="s">
        <v>1444</v>
      </c>
      <c r="F60" s="3893"/>
      <c r="I60" s="4086"/>
      <c r="J60" s="4086"/>
      <c r="K60" s="4086"/>
      <c r="L60" s="4086"/>
      <c r="M60" s="4086"/>
      <c r="N60" s="4086"/>
    </row>
    <row r="61" spans="1:14">
      <c r="A61" s="3894">
        <f>0.077</f>
        <v>7.6999999999999999E-2</v>
      </c>
      <c r="B61" s="3894">
        <f>0.1037</f>
        <v>0.1037</v>
      </c>
      <c r="C61" s="3894">
        <f>0.1551</f>
        <v>0.15509999999999999</v>
      </c>
      <c r="D61" s="3894">
        <f>0.2463</f>
        <v>0.24629999999999999</v>
      </c>
      <c r="E61" s="3894">
        <f>0.3842</f>
        <v>0.38419999999999999</v>
      </c>
      <c r="F61" s="4115" t="s">
        <v>2337</v>
      </c>
      <c r="J61" s="4086"/>
      <c r="K61" s="4086"/>
      <c r="L61" s="4086"/>
      <c r="M61" s="4086"/>
      <c r="N61" s="4086"/>
    </row>
    <row r="62" spans="1:14">
      <c r="A62" s="3949">
        <f>0.0564</f>
        <v>5.6399999999999999E-2</v>
      </c>
      <c r="B62" s="3949">
        <f>0.0675</f>
        <v>6.7500000000000004E-2</v>
      </c>
      <c r="C62" s="3949">
        <f>0.1074</f>
        <v>0.1074</v>
      </c>
      <c r="D62" s="3949">
        <f>0.1413</f>
        <v>0.14130000000000001</v>
      </c>
      <c r="E62" s="3949">
        <f>0.1102</f>
        <v>0.11020000000000001</v>
      </c>
      <c r="F62" s="4090" t="s">
        <v>2336</v>
      </c>
      <c r="J62" s="4086"/>
      <c r="K62" s="4086"/>
      <c r="L62" s="4086"/>
      <c r="M62" s="4086"/>
      <c r="N62" s="4086"/>
    </row>
    <row r="63" spans="1:14">
      <c r="A63" s="3894">
        <f>0.0872</f>
        <v>8.72E-2</v>
      </c>
      <c r="B63" s="3894">
        <f>0.1202</f>
        <v>0.1202</v>
      </c>
      <c r="C63" s="3894">
        <f>0.1449</f>
        <v>0.1449</v>
      </c>
      <c r="D63" s="3894">
        <f>0.1627</f>
        <v>0.16270000000000001</v>
      </c>
      <c r="E63" s="3894">
        <f>0.1758</f>
        <v>0.17580000000000001</v>
      </c>
      <c r="F63" s="4115" t="s">
        <v>2335</v>
      </c>
      <c r="J63" s="4086"/>
      <c r="K63" s="4086"/>
      <c r="L63" s="4086"/>
      <c r="M63" s="4086"/>
      <c r="N63" s="4086"/>
    </row>
    <row r="64" spans="1:14">
      <c r="A64" s="4086"/>
      <c r="B64" s="4086"/>
      <c r="C64" s="4101"/>
      <c r="D64" s="4086"/>
      <c r="E64" s="4086"/>
      <c r="F64" s="4086"/>
      <c r="G64" s="4086"/>
      <c r="I64" s="4086"/>
      <c r="J64" s="4086"/>
      <c r="K64" s="4086"/>
      <c r="L64" s="4086"/>
      <c r="M64" s="4086"/>
      <c r="N64" s="4086"/>
    </row>
    <row r="65" spans="1:14">
      <c r="A65" s="3891" t="s">
        <v>2472</v>
      </c>
      <c r="B65" s="3895"/>
      <c r="C65" s="4101"/>
      <c r="D65" s="4086"/>
      <c r="E65" s="4086"/>
      <c r="F65" s="4086"/>
      <c r="G65" s="4086"/>
      <c r="I65" s="4086"/>
      <c r="J65" s="4086"/>
      <c r="K65" s="4086"/>
      <c r="L65" s="4086"/>
      <c r="M65" s="4086"/>
      <c r="N65" s="4086"/>
    </row>
    <row r="66" spans="1:14">
      <c r="A66" s="3895"/>
      <c r="B66" s="3895"/>
      <c r="C66" s="4101"/>
      <c r="D66" s="4086"/>
      <c r="E66" s="4086"/>
      <c r="F66" s="4086"/>
      <c r="G66" s="4086"/>
      <c r="I66" s="4086"/>
      <c r="J66" s="4086"/>
      <c r="K66" s="4086"/>
      <c r="L66" s="4086"/>
      <c r="M66" s="4086"/>
      <c r="N66" s="4086"/>
    </row>
    <row r="67" spans="1:14">
      <c r="A67" s="3896" t="s">
        <v>811</v>
      </c>
      <c r="B67" s="3896" t="s">
        <v>812</v>
      </c>
      <c r="C67" s="4116" t="s">
        <v>813</v>
      </c>
      <c r="D67" s="3896" t="s">
        <v>814</v>
      </c>
      <c r="E67" s="3896" t="s">
        <v>815</v>
      </c>
      <c r="F67" s="3898"/>
      <c r="I67" s="4086"/>
      <c r="J67" s="4086"/>
      <c r="K67" s="4086"/>
      <c r="L67" s="4086"/>
      <c r="M67" s="4086"/>
      <c r="N67" s="4086"/>
    </row>
    <row r="68" spans="1:14">
      <c r="A68" s="4138"/>
      <c r="B68" s="4138"/>
      <c r="C68" s="4139"/>
      <c r="D68" s="4138"/>
      <c r="E68" s="4138"/>
      <c r="F68" s="3901"/>
      <c r="I68" s="4086"/>
      <c r="J68" s="4086"/>
      <c r="K68" s="4086"/>
      <c r="L68" s="4086"/>
      <c r="M68" s="4086"/>
      <c r="N68" s="4086"/>
    </row>
    <row r="69" spans="1:14">
      <c r="A69" s="3895"/>
      <c r="B69" s="3895"/>
      <c r="C69" s="4101"/>
      <c r="D69" s="4086"/>
      <c r="E69" s="4086"/>
      <c r="F69" s="4086"/>
      <c r="G69" s="4086"/>
      <c r="I69" s="4086"/>
      <c r="J69" s="4086"/>
      <c r="K69" s="4086"/>
      <c r="L69" s="4086"/>
      <c r="M69" s="4086"/>
      <c r="N69" s="4086"/>
    </row>
    <row r="70" spans="1:14">
      <c r="A70" s="3901" t="s">
        <v>2473</v>
      </c>
      <c r="B70" s="3901"/>
      <c r="C70" s="3901"/>
      <c r="D70" s="4117"/>
      <c r="E70" s="3901"/>
      <c r="F70" s="3901"/>
      <c r="G70" s="3901"/>
      <c r="I70" s="4086"/>
      <c r="J70" s="4086"/>
      <c r="K70" s="4086"/>
      <c r="L70" s="4086"/>
      <c r="M70" s="4086"/>
      <c r="N70" s="4086"/>
    </row>
    <row r="71" spans="1:14">
      <c r="A71" s="3903"/>
      <c r="B71" s="3904"/>
      <c r="C71" s="3901"/>
      <c r="D71" s="4117"/>
      <c r="E71" s="3901"/>
      <c r="F71" s="3901"/>
      <c r="G71" s="3901"/>
      <c r="I71" s="4086"/>
      <c r="J71" s="4086"/>
      <c r="K71" s="4086"/>
      <c r="L71" s="4086"/>
      <c r="M71" s="4086"/>
      <c r="N71" s="4086"/>
    </row>
    <row r="72" spans="1:14">
      <c r="A72" s="3896" t="s">
        <v>811</v>
      </c>
      <c r="B72" s="3896" t="s">
        <v>812</v>
      </c>
      <c r="C72" s="4116" t="s">
        <v>813</v>
      </c>
      <c r="D72" s="3896" t="s">
        <v>814</v>
      </c>
      <c r="E72" s="3896" t="s">
        <v>815</v>
      </c>
      <c r="F72" s="3896" t="s">
        <v>32</v>
      </c>
      <c r="G72" s="3888"/>
      <c r="I72" s="4086"/>
      <c r="J72" s="4086"/>
      <c r="K72" s="4086"/>
      <c r="L72" s="4086"/>
      <c r="M72" s="4086"/>
      <c r="N72" s="4086"/>
    </row>
    <row r="73" spans="1:14">
      <c r="A73" s="3905">
        <f>+A61*A68</f>
        <v>0</v>
      </c>
      <c r="B73" s="3905">
        <f>+B61*B68</f>
        <v>0</v>
      </c>
      <c r="C73" s="3905">
        <f>+C61*C68</f>
        <v>0</v>
      </c>
      <c r="D73" s="3905">
        <f>+D61*D68</f>
        <v>0</v>
      </c>
      <c r="E73" s="3905">
        <f>+E61*E68</f>
        <v>0</v>
      </c>
      <c r="F73" s="3906">
        <f>SUM(A73:E73)</f>
        <v>0</v>
      </c>
      <c r="G73" s="4115" t="s">
        <v>2337</v>
      </c>
      <c r="I73" s="4086"/>
      <c r="J73" s="4086"/>
      <c r="K73" s="4086"/>
      <c r="L73" s="4086"/>
      <c r="M73" s="4086"/>
      <c r="N73" s="4086"/>
    </row>
    <row r="74" spans="1:14">
      <c r="A74" s="3950">
        <f>+A62*A68</f>
        <v>0</v>
      </c>
      <c r="B74" s="3950">
        <f>+B62*B68</f>
        <v>0</v>
      </c>
      <c r="C74" s="3950">
        <f>+C62*C68</f>
        <v>0</v>
      </c>
      <c r="D74" s="3950">
        <f>+D62*D68</f>
        <v>0</v>
      </c>
      <c r="E74" s="3950">
        <f>+E62*E68</f>
        <v>0</v>
      </c>
      <c r="F74" s="3906">
        <f>SUM(A74:E74)</f>
        <v>0</v>
      </c>
      <c r="G74" s="4090" t="s">
        <v>2336</v>
      </c>
      <c r="I74" s="4086"/>
      <c r="J74" s="4086"/>
      <c r="K74" s="4086"/>
      <c r="L74" s="4086"/>
      <c r="M74" s="4086"/>
      <c r="N74" s="4086"/>
    </row>
    <row r="75" spans="1:14">
      <c r="A75" s="3905">
        <f>+A63*A68</f>
        <v>0</v>
      </c>
      <c r="B75" s="3905">
        <f>+B63*B68</f>
        <v>0</v>
      </c>
      <c r="C75" s="3905">
        <f>+C63*C68</f>
        <v>0</v>
      </c>
      <c r="D75" s="3905">
        <f>+D63*D68</f>
        <v>0</v>
      </c>
      <c r="E75" s="3905">
        <f>+E63*E68</f>
        <v>0</v>
      </c>
      <c r="F75" s="3906">
        <f>SUM(A75:E75)</f>
        <v>0</v>
      </c>
      <c r="G75" s="4115" t="s">
        <v>2335</v>
      </c>
      <c r="I75" s="4086"/>
      <c r="J75" s="4086"/>
      <c r="K75" s="4086"/>
      <c r="L75" s="4086"/>
      <c r="M75" s="4086"/>
      <c r="N75" s="4086"/>
    </row>
    <row r="76" spans="1:14">
      <c r="A76" s="3888"/>
      <c r="B76" s="3888"/>
      <c r="C76" s="3888"/>
      <c r="D76" s="3888"/>
      <c r="E76" s="3888"/>
      <c r="F76" s="3888"/>
      <c r="G76" s="3888"/>
      <c r="I76" s="4086"/>
      <c r="J76" s="4086"/>
      <c r="K76" s="4086"/>
      <c r="L76" s="4086"/>
      <c r="M76" s="4086"/>
      <c r="N76" s="4086"/>
    </row>
    <row r="77" spans="1:14">
      <c r="A77" s="3907" t="s">
        <v>2373</v>
      </c>
      <c r="B77" s="3888"/>
      <c r="C77" s="3888"/>
      <c r="D77" s="3888"/>
      <c r="E77" s="3888"/>
      <c r="F77" s="3888"/>
      <c r="G77" s="4118" t="s">
        <v>2373</v>
      </c>
      <c r="I77" s="4086"/>
      <c r="J77" s="4086"/>
      <c r="K77" s="4086"/>
      <c r="L77" s="4086"/>
      <c r="M77" s="4086"/>
      <c r="N77" s="4086"/>
    </row>
    <row r="78" spans="1:14">
      <c r="A78" s="4137" t="s">
        <v>2466</v>
      </c>
      <c r="B78" s="3907"/>
      <c r="C78" s="3907"/>
      <c r="D78" s="3909"/>
      <c r="E78" s="3910"/>
      <c r="F78" s="3909"/>
      <c r="G78" s="4119" t="s">
        <v>2420</v>
      </c>
      <c r="J78" s="4086"/>
      <c r="K78" s="4086"/>
      <c r="L78" s="4086"/>
      <c r="M78" s="4086"/>
      <c r="N78" s="4086"/>
    </row>
    <row r="79" spans="1:14">
      <c r="A79" s="3888"/>
      <c r="B79" s="3888"/>
      <c r="C79" s="3888"/>
      <c r="D79" s="3888"/>
      <c r="E79" s="3888"/>
      <c r="F79" s="3888"/>
      <c r="G79" s="4120"/>
      <c r="I79" s="4086"/>
      <c r="J79" s="4086"/>
      <c r="K79" s="4086"/>
      <c r="L79" s="4086"/>
      <c r="M79" s="4086"/>
      <c r="N79" s="4086"/>
    </row>
    <row r="80" spans="1:14">
      <c r="A80" s="3911" t="s">
        <v>2337</v>
      </c>
      <c r="B80" s="3912">
        <f>MAX(G24,F73)</f>
        <v>0</v>
      </c>
      <c r="C80" s="3913" t="s">
        <v>1169</v>
      </c>
      <c r="D80" s="3911" t="str">
        <f>IF(B80=G24,"Bestandsschutz","Richtwert § 113c SGB XI")</f>
        <v>Richtwert § 113c SGB XI</v>
      </c>
      <c r="F80" s="3888"/>
      <c r="G80" s="4121">
        <f>IF(Personalkosten!G18&lt;Bestandsschutz_2023!B80,Personalkosten!G18,Bestandsschutz_2023!B80)</f>
        <v>0</v>
      </c>
      <c r="I80" s="4086"/>
      <c r="J80" s="4086"/>
      <c r="K80" s="4086"/>
      <c r="L80" s="4086"/>
      <c r="M80" s="4086"/>
      <c r="N80" s="4086"/>
    </row>
    <row r="81" spans="1:14">
      <c r="A81" s="3911" t="s">
        <v>2336</v>
      </c>
      <c r="B81" s="3912">
        <f>MAX(G36,F74)</f>
        <v>0</v>
      </c>
      <c r="C81" s="3913" t="s">
        <v>1169</v>
      </c>
      <c r="D81" s="3911" t="str">
        <f>IF(B81=G36,"Bestandsschutz","Richtwert § 113c SGB XI")</f>
        <v>Bestandsschutz</v>
      </c>
      <c r="F81" s="3888"/>
      <c r="G81" s="4121">
        <f>IF(Personalkosten!G20&lt;Bestandsschutz_2023!B81,Personalkosten!G20,Bestandsschutz_2023!B81)</f>
        <v>0</v>
      </c>
      <c r="I81" s="4086"/>
      <c r="J81" s="4086"/>
      <c r="K81" s="4086"/>
      <c r="L81" s="4086"/>
      <c r="M81" s="4086"/>
      <c r="N81" s="4086"/>
    </row>
    <row r="82" spans="1:14">
      <c r="A82" s="3911" t="s">
        <v>2335</v>
      </c>
      <c r="B82" s="3912">
        <f>MAX(G48,F75)</f>
        <v>0</v>
      </c>
      <c r="C82" s="3913" t="s">
        <v>1169</v>
      </c>
      <c r="D82" s="3911" t="str">
        <f>IF(B82=G48,"Bestandsschutz","Richtwert § 113c SGB XI")</f>
        <v>Bestandsschutz</v>
      </c>
      <c r="F82" s="3888"/>
      <c r="G82" s="4121">
        <f>IF(Personalkosten!G22&lt;Bestandsschutz_2023!B82,Personalkosten!G22,Bestandsschutz_2023!B82)</f>
        <v>0</v>
      </c>
      <c r="I82" s="4086"/>
      <c r="J82" s="4086"/>
      <c r="K82" s="4086"/>
      <c r="L82" s="4086"/>
      <c r="M82" s="4086"/>
      <c r="N82" s="4086"/>
    </row>
    <row r="83" spans="1:14">
      <c r="A83" s="3888"/>
      <c r="B83" s="3914"/>
      <c r="C83" s="3888"/>
      <c r="D83" s="3888"/>
      <c r="E83" s="3888"/>
      <c r="F83" s="3888"/>
      <c r="G83" s="4121">
        <f>SUM(G80:G82)</f>
        <v>0</v>
      </c>
      <c r="I83" s="4086"/>
      <c r="J83" s="4086"/>
      <c r="K83" s="4086"/>
      <c r="L83" s="4086"/>
      <c r="M83" s="4086"/>
      <c r="N83" s="4086"/>
    </row>
    <row r="84" spans="1:14">
      <c r="A84" s="3888"/>
      <c r="B84" s="3914"/>
      <c r="C84" s="3888"/>
      <c r="D84" s="3888"/>
      <c r="E84" s="3888"/>
      <c r="F84" s="3888"/>
      <c r="G84" s="3888"/>
      <c r="I84" s="4086"/>
      <c r="J84" s="4086"/>
      <c r="K84" s="4086"/>
      <c r="L84" s="4086"/>
      <c r="M84" s="4086"/>
      <c r="N84" s="4086"/>
    </row>
    <row r="85" spans="1:14">
      <c r="A85" s="3888"/>
      <c r="B85" s="3914"/>
      <c r="C85" s="3888"/>
      <c r="D85" s="3888"/>
      <c r="E85" s="3888"/>
      <c r="F85" s="3888"/>
      <c r="G85" s="3888"/>
      <c r="I85" s="4086"/>
      <c r="J85" s="4086"/>
      <c r="K85" s="4086"/>
      <c r="L85" s="4086"/>
      <c r="M85" s="4086"/>
      <c r="N85" s="4086"/>
    </row>
    <row r="86" spans="1:14">
      <c r="A86" s="4086"/>
      <c r="B86" s="4086"/>
      <c r="C86" s="4101"/>
      <c r="D86" s="4086"/>
      <c r="E86" s="4086"/>
      <c r="F86" s="4086"/>
      <c r="G86" s="4086"/>
      <c r="I86" s="4086"/>
      <c r="J86" s="4086"/>
      <c r="K86" s="4086"/>
      <c r="L86" s="4086"/>
      <c r="M86" s="4086"/>
      <c r="N86" s="4086"/>
    </row>
  </sheetData>
  <mergeCells count="2">
    <mergeCell ref="I1:K2"/>
    <mergeCell ref="A5:G5"/>
  </mergeCells>
  <printOptions horizontalCentered="1"/>
  <pageMargins left="0.70866141732283472" right="0.31496062992125984" top="0.59055118110236227" bottom="0.59055118110236227" header="0.31496062992125984" footer="0.31496062992125984"/>
  <pageSetup paperSize="9" scale="63" orientation="portrait" horizontalDpi="300" verticalDpi="300" r:id="rId1"/>
  <headerFooter>
    <oddFooter>&amp;C&amp;F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0">
    <pageSetUpPr fitToPage="1"/>
  </sheetPr>
  <dimension ref="A1:R95"/>
  <sheetViews>
    <sheetView workbookViewId="0">
      <selection activeCell="G81" sqref="G81"/>
    </sheetView>
  </sheetViews>
  <sheetFormatPr baseColWidth="10" defaultColWidth="11.42578125" defaultRowHeight="15"/>
  <cols>
    <col min="1" max="7" width="15.7109375" style="3818" customWidth="1"/>
    <col min="8" max="8" width="11.42578125" style="3818"/>
    <col min="9" max="9" width="43.140625" style="3818" customWidth="1"/>
    <col min="10" max="10" width="16.7109375" style="3818" customWidth="1"/>
    <col min="11" max="11" width="23.42578125" style="3818" customWidth="1"/>
    <col min="12" max="12" width="11.42578125" style="3818" customWidth="1"/>
    <col min="13" max="13" width="11.42578125" style="3818"/>
    <col min="14" max="14" width="13.7109375" style="3818" customWidth="1"/>
    <col min="15" max="16384" width="11.42578125" style="3818"/>
  </cols>
  <sheetData>
    <row r="1" spans="1:14">
      <c r="A1" s="3815"/>
      <c r="B1" s="3816"/>
      <c r="C1" s="3816"/>
      <c r="D1" s="3816"/>
      <c r="E1" s="3816"/>
      <c r="F1" s="3816"/>
      <c r="G1" s="3817"/>
      <c r="I1" s="4254" t="s">
        <v>2356</v>
      </c>
      <c r="J1" s="4255"/>
      <c r="K1" s="4256"/>
    </row>
    <row r="2" spans="1:14" s="3823" customFormat="1" ht="18" customHeight="1">
      <c r="A2" s="3819" t="s">
        <v>2357</v>
      </c>
      <c r="B2" s="3820"/>
      <c r="C2" s="3821"/>
      <c r="D2" s="3821"/>
      <c r="E2" s="3821"/>
      <c r="F2" s="3821"/>
      <c r="G2" s="3822"/>
      <c r="I2" s="4257"/>
      <c r="J2" s="4258"/>
      <c r="K2" s="4259"/>
      <c r="L2" s="3824"/>
      <c r="M2" s="3824"/>
      <c r="N2" s="3824"/>
    </row>
    <row r="3" spans="1:14" s="3823" customFormat="1" ht="18" customHeight="1">
      <c r="A3" s="3825" t="s">
        <v>2358</v>
      </c>
      <c r="B3" s="3826"/>
      <c r="C3" s="3827"/>
      <c r="D3" s="3827"/>
      <c r="E3" s="3827"/>
      <c r="F3" s="3827"/>
      <c r="G3" s="3828"/>
      <c r="I3" s="3829" t="s">
        <v>2359</v>
      </c>
      <c r="J3" s="3974"/>
      <c r="K3" s="3830"/>
      <c r="L3" s="3831"/>
      <c r="M3" s="3831"/>
      <c r="N3" s="3831"/>
    </row>
    <row r="4" spans="1:14" s="3823" customFormat="1" ht="13.9" customHeight="1" thickBot="1">
      <c r="A4" s="3832"/>
      <c r="B4" s="3833"/>
      <c r="C4" s="3834"/>
      <c r="D4" s="3834"/>
      <c r="E4" s="3834"/>
      <c r="F4" s="3834"/>
      <c r="G4" s="3835"/>
      <c r="I4" s="3975"/>
      <c r="J4" s="3976"/>
      <c r="K4" s="3977"/>
      <c r="L4" s="3836"/>
      <c r="M4" s="3836"/>
      <c r="N4" s="3836"/>
    </row>
    <row r="5" spans="1:14" s="3823" customFormat="1" ht="15" customHeight="1">
      <c r="A5" s="4253" t="s">
        <v>2467</v>
      </c>
      <c r="B5" s="4253"/>
      <c r="C5" s="4253"/>
      <c r="D5" s="4253"/>
      <c r="E5" s="4253"/>
      <c r="F5" s="4253"/>
      <c r="G5" s="4253"/>
      <c r="I5" s="3975" t="s">
        <v>1950</v>
      </c>
      <c r="J5" s="4154">
        <f>IF(OR(Bestandsschutz_2023!$D$80="Bestandsschutz",Bestandsschutz_2023!$D$82="Bestandsschutz"),Bestandsschutz_2023!J5,"")</f>
        <v>0</v>
      </c>
      <c r="K5" s="3977"/>
      <c r="L5" s="3836"/>
      <c r="M5" s="3836"/>
      <c r="N5" s="3836"/>
    </row>
    <row r="6" spans="1:14" s="3823" customFormat="1" ht="15" customHeight="1">
      <c r="A6" s="3838"/>
      <c r="B6" s="3839"/>
      <c r="C6" s="3840"/>
      <c r="D6" s="3840"/>
      <c r="E6" s="3840"/>
      <c r="F6" s="3840"/>
      <c r="G6" s="3841"/>
      <c r="I6" s="3975" t="s">
        <v>2049</v>
      </c>
      <c r="J6" s="4154">
        <f>IF(OR(Bestandsschutz_2023!$D$80="Bestandsschutz",Bestandsschutz_2023!$D$82="Bestandsschutz"),Bestandsschutz_2023!J6,"")</f>
        <v>0</v>
      </c>
      <c r="K6" s="4135">
        <f>IF(J6&gt;0,J6/SUM(J6:J7),0%)</f>
        <v>0</v>
      </c>
      <c r="L6" s="3836"/>
      <c r="M6" s="3836"/>
      <c r="N6" s="3836"/>
    </row>
    <row r="7" spans="1:14" s="3823" customFormat="1" ht="15" customHeight="1">
      <c r="A7" s="3842" t="s">
        <v>2360</v>
      </c>
      <c r="B7" s="3826"/>
      <c r="C7" s="3837"/>
      <c r="D7" s="3837"/>
      <c r="E7" s="3837"/>
      <c r="F7" s="3837"/>
      <c r="G7" s="3843"/>
      <c r="I7" s="3978" t="s">
        <v>2086</v>
      </c>
      <c r="J7" s="4154">
        <f>IF(OR(Bestandsschutz_2023!$D$80="Bestandsschutz",Bestandsschutz_2023!$D$82="Bestandsschutz"),Bestandsschutz_2023!J7,"")</f>
        <v>0</v>
      </c>
      <c r="K7" s="4135">
        <f>IF(J7&gt;0,J7/SUM(J6:J7),0%)</f>
        <v>0</v>
      </c>
      <c r="L7" s="3836"/>
      <c r="M7" s="3836"/>
      <c r="N7" s="3836"/>
    </row>
    <row r="8" spans="1:14" s="3823" customFormat="1" ht="15" customHeight="1">
      <c r="A8" s="3842"/>
      <c r="B8" s="3826"/>
      <c r="C8" s="3837"/>
      <c r="D8" s="3837"/>
      <c r="E8" s="3837"/>
      <c r="F8" s="3837"/>
      <c r="G8" s="3843"/>
      <c r="I8" s="3978" t="s">
        <v>2050</v>
      </c>
      <c r="J8" s="4154">
        <f>IF(OR(Bestandsschutz_2023!$D$80="Bestandsschutz",Bestandsschutz_2023!$D$82="Bestandsschutz"),Bestandsschutz_2023!J8,"")</f>
        <v>0</v>
      </c>
      <c r="K8" s="4135">
        <f>IF(J8&gt;0,J8/SUM(J8:J10),0%)</f>
        <v>0</v>
      </c>
      <c r="L8" s="3836"/>
      <c r="M8" s="3836"/>
      <c r="N8" s="3836"/>
    </row>
    <row r="9" spans="1:14" s="3823" customFormat="1" ht="15" customHeight="1">
      <c r="A9" s="3844" t="s">
        <v>1950</v>
      </c>
      <c r="B9" s="3845"/>
      <c r="C9" s="4155">
        <f>IF(OR(Bestandsschutz_2023!$D$80="Bestandsschutz",Bestandsschutz_2023!$D$82="Bestandsschutz"),Bestandsschutz_2023!C9,"")</f>
        <v>0</v>
      </c>
      <c r="D9" s="3837"/>
      <c r="E9" s="3837"/>
      <c r="F9" s="3837"/>
      <c r="G9" s="3843"/>
      <c r="I9" s="3978" t="s">
        <v>2082</v>
      </c>
      <c r="J9" s="4154">
        <f>IF(OR(Bestandsschutz_2023!$D$80="Bestandsschutz",Bestandsschutz_2023!$D$82="Bestandsschutz"),Bestandsschutz_2023!J9,"")</f>
        <v>0</v>
      </c>
      <c r="K9" s="4135">
        <f>IF(J9&gt;0,J9/SUM(J8:J10),0%)</f>
        <v>0</v>
      </c>
      <c r="L9" s="3836"/>
      <c r="M9" s="3836"/>
      <c r="N9" s="3836"/>
    </row>
    <row r="10" spans="1:14" s="3823" customFormat="1" ht="15" customHeight="1">
      <c r="A10" s="3844" t="s">
        <v>1948</v>
      </c>
      <c r="B10" s="3845"/>
      <c r="C10" s="4155">
        <f>IF(OR(Bestandsschutz_2023!$D$80="Bestandsschutz",Bestandsschutz_2023!$D$82="Bestandsschutz"),Bestandsschutz_2023!C10,"")</f>
        <v>0</v>
      </c>
      <c r="D10" s="3837"/>
      <c r="E10" s="3837"/>
      <c r="F10" s="3837"/>
      <c r="G10" s="3843"/>
      <c r="I10" s="3978" t="s">
        <v>2083</v>
      </c>
      <c r="J10" s="4154">
        <f>IF(OR(Bestandsschutz_2023!$D$80="Bestandsschutz",Bestandsschutz_2023!$D$82="Bestandsschutz"),Bestandsschutz_2023!J10,"")</f>
        <v>0</v>
      </c>
      <c r="K10" s="4135">
        <f>IF(J10&gt;0,J10/SUM(J8:J10),0%)</f>
        <v>0</v>
      </c>
      <c r="L10" s="3836"/>
      <c r="M10" s="3836"/>
      <c r="N10" s="3836"/>
    </row>
    <row r="11" spans="1:14" s="3823" customFormat="1" ht="15" customHeight="1">
      <c r="A11" s="3844" t="s">
        <v>2361</v>
      </c>
      <c r="B11" s="3845"/>
      <c r="C11" s="4155">
        <f>IF(OR(Bestandsschutz_2023!$D$80="Bestandsschutz",Bestandsschutz_2023!$D$82="Bestandsschutz"),Bestandsschutz_2023!C11,"")</f>
        <v>0</v>
      </c>
      <c r="D11" s="3837"/>
      <c r="E11" s="3837"/>
      <c r="F11" s="3837"/>
      <c r="G11" s="3843"/>
      <c r="I11" s="3975" t="s">
        <v>2051</v>
      </c>
      <c r="J11" s="4154">
        <f>IF(OR(Bestandsschutz_2023!$D$80="Bestandsschutz",Bestandsschutz_2023!$D$82="Bestandsschutz"),Bestandsschutz_2023!J11,"")</f>
        <v>0</v>
      </c>
      <c r="K11" s="3977"/>
      <c r="L11" s="3836"/>
      <c r="M11" s="3836"/>
      <c r="N11" s="3836"/>
    </row>
    <row r="12" spans="1:14" s="3823" customFormat="1" ht="15" customHeight="1">
      <c r="A12" s="3846"/>
      <c r="B12" s="3847"/>
      <c r="C12" s="3848"/>
      <c r="D12" s="3848"/>
      <c r="E12" s="3848"/>
      <c r="F12" s="3848"/>
      <c r="G12" s="3849"/>
      <c r="I12" s="3975" t="s">
        <v>2052</v>
      </c>
      <c r="J12" s="4154">
        <f>IF(OR(Bestandsschutz_2023!$D$80="Bestandsschutz",Bestandsschutz_2023!$D$82="Bestandsschutz"),Bestandsschutz_2023!J12,"")</f>
        <v>0</v>
      </c>
      <c r="K12" s="3977"/>
      <c r="L12" s="3836"/>
      <c r="M12" s="3836"/>
      <c r="N12" s="3836"/>
    </row>
    <row r="13" spans="1:14" s="3823" customFormat="1" ht="15" customHeight="1">
      <c r="A13" s="3826"/>
      <c r="B13" s="3826"/>
      <c r="C13" s="3837"/>
      <c r="D13" s="3837"/>
      <c r="E13" s="3837"/>
      <c r="F13" s="3837"/>
      <c r="G13" s="3837"/>
      <c r="I13" s="3975"/>
      <c r="J13" s="3850">
        <f>SUM(J5:J12)</f>
        <v>0</v>
      </c>
      <c r="K13" s="3977"/>
      <c r="L13" s="3836"/>
      <c r="M13" s="3836"/>
      <c r="N13" s="3836"/>
    </row>
    <row r="14" spans="1:14">
      <c r="A14" s="3851" t="s">
        <v>2362</v>
      </c>
      <c r="B14" s="3852"/>
      <c r="C14" s="3853"/>
      <c r="D14" s="3853"/>
      <c r="E14" s="3853"/>
      <c r="F14" s="3853"/>
      <c r="G14" s="3854"/>
      <c r="I14" s="3855"/>
      <c r="J14" s="3856"/>
      <c r="K14" s="3857"/>
      <c r="L14" s="3858"/>
      <c r="M14" s="3858"/>
      <c r="N14" s="3858"/>
    </row>
    <row r="15" spans="1:14" ht="15" customHeight="1">
      <c r="A15" s="3859"/>
      <c r="B15" s="3860"/>
      <c r="C15" s="3860"/>
      <c r="D15" s="3860"/>
      <c r="E15" s="3860"/>
      <c r="F15" s="3860"/>
      <c r="G15" s="3861"/>
      <c r="I15" s="3858"/>
      <c r="J15" s="3858"/>
      <c r="K15" s="3858"/>
      <c r="L15" s="3858"/>
      <c r="M15" s="3858"/>
      <c r="N15" s="3858"/>
    </row>
    <row r="16" spans="1:14">
      <c r="A16" s="3862" t="s">
        <v>2363</v>
      </c>
      <c r="B16" s="3863"/>
      <c r="C16" s="3864"/>
      <c r="D16" s="3864"/>
      <c r="E16" s="3863" t="s">
        <v>2474</v>
      </c>
      <c r="F16" s="3863"/>
      <c r="G16" s="3865"/>
      <c r="I16" s="3858"/>
      <c r="J16" s="3866"/>
      <c r="K16" s="3866"/>
      <c r="L16" s="3858"/>
      <c r="M16" s="3858"/>
      <c r="N16" s="3858"/>
    </row>
    <row r="17" spans="1:18">
      <c r="A17" s="3867"/>
      <c r="B17" s="3864"/>
      <c r="C17" s="3864"/>
      <c r="D17" s="3864"/>
      <c r="E17" s="3864"/>
      <c r="F17" s="3864"/>
      <c r="G17" s="3865"/>
      <c r="L17" s="3971"/>
      <c r="M17" s="3971"/>
      <c r="N17" s="3971"/>
    </row>
    <row r="18" spans="1:18">
      <c r="A18" s="3867" t="s">
        <v>1950</v>
      </c>
      <c r="B18" s="3864"/>
      <c r="C18" s="3868" t="str">
        <f>IF(Bestandsschutz_2023!$D$80="Richtwert § 113c SGB XI","",Bestandsschutz_2023!C18)</f>
        <v/>
      </c>
      <c r="D18" s="3864"/>
      <c r="E18" s="3864" t="s">
        <v>2365</v>
      </c>
      <c r="F18" s="3864"/>
      <c r="G18" s="3917">
        <v>38.729999999999997</v>
      </c>
      <c r="H18" s="3869"/>
      <c r="L18" s="3971"/>
      <c r="M18" s="3971"/>
      <c r="N18" s="3971"/>
    </row>
    <row r="19" spans="1:18">
      <c r="A19" s="3867" t="s">
        <v>2366</v>
      </c>
      <c r="B19" s="3864"/>
      <c r="C19" s="3870" t="str">
        <f>IF(Bestandsschutz_2023!$D$80="Richtwert § 113c SGB XI","",Bestandsschutz_2023!C19)</f>
        <v/>
      </c>
      <c r="D19" s="3864"/>
      <c r="E19" s="3864" t="s">
        <v>2367</v>
      </c>
      <c r="F19" s="3864"/>
      <c r="G19" s="3918"/>
      <c r="H19" s="3869"/>
      <c r="L19" s="3971"/>
      <c r="M19" s="3971"/>
      <c r="N19" s="3971"/>
    </row>
    <row r="20" spans="1:18">
      <c r="A20" s="3867" t="s">
        <v>2051</v>
      </c>
      <c r="B20" s="3864"/>
      <c r="C20" s="4165" t="str">
        <f>IF(Bestandsschutz_2023!$D$80="Richtwert § 113c SGB XI","",Bestandsschutz_2023!C20)</f>
        <v/>
      </c>
      <c r="D20" s="3871"/>
      <c r="E20" s="3864" t="s">
        <v>2051</v>
      </c>
      <c r="F20" s="3864"/>
      <c r="G20" s="3918"/>
      <c r="H20" s="3872"/>
      <c r="L20" s="3971"/>
      <c r="M20" s="3971"/>
      <c r="N20" s="3971"/>
      <c r="O20" s="3872"/>
      <c r="P20" s="3872"/>
      <c r="Q20" s="3872"/>
      <c r="R20" s="3872"/>
    </row>
    <row r="21" spans="1:18">
      <c r="A21" s="3867" t="s">
        <v>2368</v>
      </c>
      <c r="B21" s="3864"/>
      <c r="C21" s="4165" t="str">
        <f>IF(Bestandsschutz_2023!$D$80="Richtwert § 113c SGB XI","",Bestandsschutz_2023!C21)</f>
        <v/>
      </c>
      <c r="D21" s="3871"/>
      <c r="E21" s="3864" t="s">
        <v>2368</v>
      </c>
      <c r="F21" s="3864"/>
      <c r="G21" s="4098"/>
      <c r="L21" s="3971"/>
      <c r="M21" s="3971"/>
      <c r="N21" s="3971"/>
    </row>
    <row r="22" spans="1:18">
      <c r="A22" s="3867"/>
      <c r="B22" s="3864"/>
      <c r="C22" s="3874">
        <f>SUM(C18:C21)</f>
        <v>0</v>
      </c>
      <c r="D22" s="3864"/>
      <c r="E22" s="3864"/>
      <c r="F22" s="3864"/>
      <c r="G22" s="3875">
        <f>SUM(G18:G21)</f>
        <v>38.729999999999997</v>
      </c>
      <c r="I22" s="4147" t="e">
        <f>IF(AND(B80&gt;Übergangsregelung!G32,Personalkosten!E18&gt;'Personalmenge 113c'!B80,Personalkosten!G18&gt;'Personalmenge 113c'!B80),"Substitutionsmöglichkeit QN4 -&gt; QN3 prüfen",IF(AND(Übergangsregelung!G32&gt;'Personalmenge 113c'!B80,Personalkosten!E18&gt;Übergangsregelung!G32,Personalkosten!G18&gt;Übergangsregelung!G32),"weitere Substitutionsmöglichkeit QN4 -&gt; QN3 prüfen",""))</f>
        <v>#VALUE!</v>
      </c>
      <c r="J22" s="4148"/>
      <c r="K22" s="4149" t="e">
        <f>IF(AND(B80&gt;Übergangsregelung!G32,Personalkosten!E18&gt;'Personalmenge 113c'!B80,Personalkosten!G18&gt;'Personalmenge 113c'!B80),MIN(Personalkosten!E18,Personalkosten!G18)-'Personalmenge 113c'!B80,IF(AND(Übergangsregelung!G32&gt;'Personalmenge 113c'!B80,Personalkosten!E18&gt;Übergangsregelung!G32,Personalkosten!G18&gt;Übergangsregelung!G32),MIN(Personalkosten!E18,Personalkosten!G18)-Übergangsregelung!G32,""))</f>
        <v>#VALUE!</v>
      </c>
      <c r="L22" s="3971"/>
      <c r="M22" s="3971"/>
      <c r="N22" s="3971"/>
    </row>
    <row r="23" spans="1:18">
      <c r="A23" s="3867"/>
      <c r="B23" s="3864"/>
      <c r="C23" s="3876"/>
      <c r="D23" s="3864"/>
      <c r="E23" s="3864"/>
      <c r="F23" s="3864"/>
      <c r="G23" s="3865"/>
      <c r="L23" s="3971"/>
      <c r="M23" s="3971"/>
      <c r="N23" s="3971"/>
    </row>
    <row r="24" spans="1:18">
      <c r="A24" s="3862" t="s">
        <v>2369</v>
      </c>
      <c r="B24" s="3863"/>
      <c r="C24" s="3864"/>
      <c r="D24" s="3864"/>
      <c r="E24" s="3864"/>
      <c r="F24" s="3864"/>
      <c r="G24" s="4100">
        <f>MIN(Bestandsschutz_2023!G24,G22,C22)</f>
        <v>-0.75</v>
      </c>
      <c r="I24" s="3858"/>
      <c r="J24" s="3858"/>
      <c r="K24" s="3858"/>
      <c r="L24" s="3858"/>
      <c r="M24" s="3858"/>
      <c r="N24" s="3858"/>
    </row>
    <row r="25" spans="1:18" ht="15" customHeight="1">
      <c r="A25" s="3877"/>
      <c r="B25" s="3878"/>
      <c r="C25" s="3878"/>
      <c r="D25" s="3878"/>
      <c r="E25" s="3878"/>
      <c r="F25" s="3878"/>
      <c r="G25" s="3879"/>
      <c r="I25" s="3858"/>
      <c r="J25" s="3858"/>
      <c r="K25" s="3858"/>
      <c r="L25" s="3858"/>
      <c r="M25" s="3858"/>
      <c r="N25" s="3858"/>
    </row>
    <row r="26" spans="1:18">
      <c r="A26" s="3880"/>
      <c r="B26" s="3864"/>
      <c r="C26" s="3864"/>
      <c r="D26" s="3864"/>
      <c r="E26" s="3864"/>
      <c r="F26" s="3864"/>
      <c r="G26" s="3864"/>
      <c r="I26" s="3858"/>
      <c r="J26" s="3858"/>
      <c r="K26" s="3858"/>
      <c r="L26" s="3858"/>
      <c r="M26" s="3858"/>
      <c r="N26" s="3858"/>
    </row>
    <row r="27" spans="1:18">
      <c r="A27" s="3851" t="s">
        <v>2409</v>
      </c>
      <c r="B27" s="3852"/>
      <c r="C27" s="3881"/>
      <c r="D27" s="3853"/>
      <c r="E27" s="3853"/>
      <c r="F27" s="3853"/>
      <c r="G27" s="3854"/>
      <c r="I27" s="4167"/>
      <c r="J27" s="3972"/>
      <c r="K27" s="4168"/>
      <c r="L27" s="3858"/>
      <c r="M27" s="3858"/>
      <c r="N27" s="3858"/>
    </row>
    <row r="28" spans="1:18">
      <c r="A28" s="3859"/>
      <c r="B28" s="3860"/>
      <c r="C28" s="3883"/>
      <c r="D28" s="3860"/>
      <c r="E28" s="3860"/>
      <c r="F28" s="3860"/>
      <c r="G28" s="3861"/>
      <c r="I28" s="4169"/>
      <c r="J28" s="3972"/>
      <c r="K28" s="4168"/>
      <c r="L28" s="3858"/>
      <c r="M28" s="3858"/>
      <c r="N28" s="3858"/>
    </row>
    <row r="29" spans="1:18">
      <c r="A29" s="3862" t="s">
        <v>2363</v>
      </c>
      <c r="B29" s="3863"/>
      <c r="C29" s="3864"/>
      <c r="D29" s="3864"/>
      <c r="E29" s="3863" t="s">
        <v>2474</v>
      </c>
      <c r="F29" s="3863"/>
      <c r="G29" s="3865"/>
      <c r="I29" s="4169"/>
      <c r="J29" s="3972"/>
      <c r="K29" s="4168"/>
      <c r="L29" s="3858"/>
      <c r="M29" s="3858"/>
      <c r="N29" s="3858"/>
    </row>
    <row r="30" spans="1:18">
      <c r="A30" s="3867"/>
      <c r="B30" s="3864"/>
      <c r="C30" s="3864"/>
      <c r="D30" s="3864"/>
      <c r="E30" s="3864"/>
      <c r="F30" s="3864"/>
      <c r="G30" s="3865"/>
      <c r="I30" s="3973"/>
      <c r="J30" s="3973"/>
      <c r="K30" s="4168"/>
      <c r="L30" s="3858"/>
      <c r="M30" s="3858"/>
      <c r="N30" s="3858"/>
    </row>
    <row r="31" spans="1:18">
      <c r="A31" s="3947" t="s">
        <v>2412</v>
      </c>
      <c r="B31" s="3864"/>
      <c r="C31" s="3868">
        <f>IF(Bestandsschutz_2023!$D$81="Richtwert § 113c SGB XI","",Bestandsschutz_2023!C31)</f>
        <v>0</v>
      </c>
      <c r="D31" s="3864"/>
      <c r="E31" s="3948" t="s">
        <v>2415</v>
      </c>
      <c r="F31" s="3864"/>
      <c r="G31" s="3917"/>
      <c r="I31" s="4169"/>
      <c r="J31" s="4166"/>
      <c r="K31" s="4168"/>
      <c r="L31" s="3858"/>
      <c r="M31" s="3858"/>
      <c r="N31" s="3858"/>
    </row>
    <row r="32" spans="1:18">
      <c r="A32" s="3947" t="s">
        <v>2413</v>
      </c>
      <c r="B32" s="3864"/>
      <c r="C32" s="3868">
        <f>IF(Bestandsschutz_2023!$D$81="Richtwert § 113c SGB XI","",Bestandsschutz_2023!C32)</f>
        <v>0</v>
      </c>
      <c r="D32" s="3864"/>
      <c r="E32" s="3948" t="s">
        <v>2416</v>
      </c>
      <c r="F32" s="3864"/>
      <c r="G32" s="3918"/>
      <c r="I32" s="4169"/>
      <c r="J32" s="4166"/>
      <c r="K32" s="4168"/>
      <c r="L32" s="3858"/>
      <c r="M32" s="3858"/>
      <c r="N32" s="3858"/>
    </row>
    <row r="33" spans="1:14">
      <c r="A33" s="3867" t="s">
        <v>2052</v>
      </c>
      <c r="B33" s="3864"/>
      <c r="C33" s="3868">
        <f>IF(Bestandsschutz_2023!$D$81="Richtwert § 113c SGB XI","",Bestandsschutz_2023!C33)</f>
        <v>0</v>
      </c>
      <c r="D33" s="3871"/>
      <c r="E33" s="3864" t="s">
        <v>2052</v>
      </c>
      <c r="F33" s="3864"/>
      <c r="G33" s="3918"/>
      <c r="I33" s="4169"/>
      <c r="J33" s="4166"/>
      <c r="K33" s="4168"/>
      <c r="L33" s="3858"/>
      <c r="M33" s="3858"/>
      <c r="N33" s="3858"/>
    </row>
    <row r="34" spans="1:14">
      <c r="A34" s="3867"/>
      <c r="B34" s="3864"/>
      <c r="C34" s="3874">
        <f>SUM(C31:C33)</f>
        <v>0</v>
      </c>
      <c r="D34" s="3864"/>
      <c r="E34" s="3864"/>
      <c r="F34" s="3864"/>
      <c r="G34" s="3875">
        <f>SUM(G31:G33)</f>
        <v>0</v>
      </c>
      <c r="I34" s="3858"/>
      <c r="J34" s="3858"/>
      <c r="K34" s="3858"/>
      <c r="L34" s="3858"/>
      <c r="M34" s="3858"/>
      <c r="N34" s="3858"/>
    </row>
    <row r="35" spans="1:14">
      <c r="A35" s="3867"/>
      <c r="B35" s="3864"/>
      <c r="C35" s="3864"/>
      <c r="D35" s="3864"/>
      <c r="E35" s="3864"/>
      <c r="F35" s="3864"/>
      <c r="G35" s="3865"/>
      <c r="I35" s="3858"/>
      <c r="J35" s="3858"/>
      <c r="K35" s="3858"/>
      <c r="L35" s="3858"/>
      <c r="M35" s="3858"/>
      <c r="N35" s="3858"/>
    </row>
    <row r="36" spans="1:14">
      <c r="A36" s="3862" t="s">
        <v>2410</v>
      </c>
      <c r="B36" s="3863"/>
      <c r="C36" s="3876"/>
      <c r="D36" s="3864"/>
      <c r="E36" s="3864"/>
      <c r="F36" s="3864"/>
      <c r="G36" s="3875">
        <f>IF(G34&lt;=C34,G34,C34)</f>
        <v>0</v>
      </c>
      <c r="I36" s="3858"/>
      <c r="J36" s="3858"/>
      <c r="K36" s="3858"/>
      <c r="L36" s="3858"/>
      <c r="M36" s="3858"/>
      <c r="N36" s="3858"/>
    </row>
    <row r="37" spans="1:14">
      <c r="A37" s="3877"/>
      <c r="B37" s="3878"/>
      <c r="C37" s="3885"/>
      <c r="D37" s="3878"/>
      <c r="E37" s="3878"/>
      <c r="F37" s="3878"/>
      <c r="G37" s="3879"/>
      <c r="I37" s="3858"/>
      <c r="J37" s="3858"/>
      <c r="K37" s="3858"/>
      <c r="L37" s="3858"/>
      <c r="M37" s="3858"/>
      <c r="N37" s="3858"/>
    </row>
    <row r="38" spans="1:14">
      <c r="A38" s="3880"/>
      <c r="B38" s="3864"/>
      <c r="C38" s="3864"/>
      <c r="D38" s="3864"/>
      <c r="E38" s="3864"/>
      <c r="F38" s="3864"/>
      <c r="G38" s="3864"/>
      <c r="I38" s="3858"/>
      <c r="J38" s="3858"/>
      <c r="K38" s="3858"/>
      <c r="L38" s="3858"/>
      <c r="M38" s="3858"/>
      <c r="N38" s="3858"/>
    </row>
    <row r="39" spans="1:14">
      <c r="A39" s="3851" t="s">
        <v>2411</v>
      </c>
      <c r="B39" s="3852"/>
      <c r="C39" s="3881"/>
      <c r="D39" s="3853"/>
      <c r="E39" s="3853"/>
      <c r="F39" s="3853"/>
      <c r="G39" s="3854"/>
      <c r="I39" s="3858"/>
      <c r="J39" s="3858"/>
      <c r="K39" s="3858"/>
      <c r="L39" s="3858"/>
      <c r="M39" s="3858"/>
      <c r="N39" s="3882"/>
    </row>
    <row r="40" spans="1:14" ht="15" customHeight="1">
      <c r="A40" s="3859"/>
      <c r="B40" s="3860"/>
      <c r="C40" s="3883"/>
      <c r="D40" s="3860"/>
      <c r="E40" s="3860"/>
      <c r="F40" s="3860"/>
      <c r="G40" s="3861"/>
      <c r="I40" s="3858"/>
      <c r="J40" s="3858"/>
      <c r="K40" s="3858"/>
      <c r="L40" s="3858"/>
      <c r="M40" s="3858"/>
      <c r="N40" s="3858"/>
    </row>
    <row r="41" spans="1:14">
      <c r="A41" s="3862" t="s">
        <v>2363</v>
      </c>
      <c r="B41" s="3863"/>
      <c r="C41" s="3864"/>
      <c r="D41" s="3864"/>
      <c r="E41" s="3863" t="s">
        <v>2474</v>
      </c>
      <c r="F41" s="3863"/>
      <c r="G41" s="3865"/>
      <c r="I41" s="3864"/>
      <c r="J41" s="3864"/>
      <c r="K41" s="3864"/>
      <c r="L41" s="3864"/>
      <c r="M41" s="3864"/>
      <c r="N41" s="3864"/>
    </row>
    <row r="42" spans="1:14">
      <c r="A42" s="3867"/>
      <c r="B42" s="3864"/>
      <c r="C42" s="3864"/>
      <c r="D42" s="3864"/>
      <c r="E42" s="3864"/>
      <c r="F42" s="3864"/>
      <c r="G42" s="3865"/>
      <c r="I42" s="3864"/>
      <c r="J42" s="3864"/>
      <c r="K42" s="3864"/>
      <c r="L42" s="3864"/>
      <c r="M42" s="3864"/>
      <c r="N42" s="3864"/>
    </row>
    <row r="43" spans="1:14">
      <c r="A43" s="3947" t="s">
        <v>2417</v>
      </c>
      <c r="B43" s="3864"/>
      <c r="C43" s="3868">
        <f>IF(Bestandsschutz_2023!$D$82="Richtwert § 113c SGB XI","",Bestandsschutz_2023!C43)</f>
        <v>0</v>
      </c>
      <c r="D43" s="3864"/>
      <c r="E43" s="3864" t="s">
        <v>2370</v>
      </c>
      <c r="F43" s="3864"/>
      <c r="G43" s="3917"/>
      <c r="I43" s="3864"/>
      <c r="J43" s="3864"/>
      <c r="K43" s="3864"/>
      <c r="L43" s="3864"/>
      <c r="M43" s="3864"/>
      <c r="N43" s="3864"/>
    </row>
    <row r="44" spans="1:14">
      <c r="A44" s="3947" t="s">
        <v>2414</v>
      </c>
      <c r="B44" s="3864"/>
      <c r="C44" s="3868">
        <f>IF(Bestandsschutz_2023!$D$82="Richtwert § 113c SGB XI","",Bestandsschutz_2023!C44)</f>
        <v>0</v>
      </c>
      <c r="D44" s="3864"/>
      <c r="E44" s="3864" t="s">
        <v>2371</v>
      </c>
      <c r="F44" s="3864"/>
      <c r="G44" s="3918"/>
      <c r="H44" s="3869"/>
      <c r="I44" s="3864"/>
      <c r="J44" s="3864"/>
      <c r="K44" s="3864"/>
      <c r="L44" s="3864"/>
      <c r="M44" s="3864"/>
      <c r="N44" s="3864"/>
    </row>
    <row r="45" spans="1:14">
      <c r="A45" s="3867" t="s">
        <v>2052</v>
      </c>
      <c r="B45" s="3864"/>
      <c r="C45" s="3868">
        <f>IF(Bestandsschutz_2023!$D$82="Richtwert § 113c SGB XI","",Bestandsschutz_2023!C45)</f>
        <v>0</v>
      </c>
      <c r="D45" s="3871"/>
      <c r="E45" s="3864" t="s">
        <v>2052</v>
      </c>
      <c r="F45" s="3864"/>
      <c r="G45" s="3918"/>
      <c r="H45" s="3869"/>
      <c r="I45" s="3864"/>
      <c r="J45" s="3864"/>
      <c r="K45" s="3864"/>
      <c r="L45" s="3864"/>
      <c r="M45" s="3864"/>
      <c r="N45" s="3864"/>
    </row>
    <row r="46" spans="1:14">
      <c r="A46" s="3867"/>
      <c r="B46" s="3864"/>
      <c r="C46" s="3874">
        <f>SUM(C43:C45)</f>
        <v>0</v>
      </c>
      <c r="D46" s="3864"/>
      <c r="E46" s="3864"/>
      <c r="F46" s="3864"/>
      <c r="G46" s="3875">
        <f>SUM(G43:G45)</f>
        <v>0</v>
      </c>
      <c r="H46" s="3869"/>
      <c r="I46" s="4147" t="e">
        <f>IF(AND(Personalkosten!E22&gt;'Personalmenge 113c'!B82,Personalkosten!G22&gt;'Personalmenge 113c'!B82),"Substitutionsmöglichkeit QN1&amp;2 -&gt; QN3 prüfen","")</f>
        <v>#VALUE!</v>
      </c>
      <c r="J46" s="4150"/>
      <c r="K46" s="4149" t="e">
        <f>IF(AND(Personalkosten!E22&gt;'Personalmenge 113c'!B82,Personalkosten!G22&gt;'Personalmenge 113c'!B82),MIN(Personalkosten!E22,Personalkosten!G22)-'Personalmenge 113c'!B82,"")</f>
        <v>#VALUE!</v>
      </c>
      <c r="L46" s="3864"/>
      <c r="M46" s="3864"/>
      <c r="N46" s="3864"/>
    </row>
    <row r="47" spans="1:14">
      <c r="A47" s="3867"/>
      <c r="B47" s="3864"/>
      <c r="C47" s="3876"/>
      <c r="D47" s="3864"/>
      <c r="E47" s="3864"/>
      <c r="F47" s="3864"/>
      <c r="G47" s="3865"/>
      <c r="I47" s="3864"/>
      <c r="J47" s="3864"/>
      <c r="K47" s="3864"/>
      <c r="L47" s="3864"/>
      <c r="M47" s="3864"/>
      <c r="N47" s="3864"/>
    </row>
    <row r="48" spans="1:14">
      <c r="A48" s="3862" t="s">
        <v>2372</v>
      </c>
      <c r="B48" s="3863"/>
      <c r="C48" s="3876"/>
      <c r="D48" s="3864"/>
      <c r="E48" s="3864"/>
      <c r="F48" s="3864"/>
      <c r="G48" s="4100">
        <f>MIN(Bestandsschutz_2023!G48,G46,C46)</f>
        <v>0</v>
      </c>
      <c r="I48" s="3864"/>
      <c r="J48" s="3864"/>
      <c r="K48" s="3864"/>
      <c r="L48" s="3864"/>
      <c r="M48" s="3864"/>
      <c r="N48" s="3864"/>
    </row>
    <row r="49" spans="1:14" ht="15" customHeight="1">
      <c r="A49" s="3877"/>
      <c r="B49" s="3878"/>
      <c r="C49" s="3885"/>
      <c r="D49" s="3878"/>
      <c r="E49" s="3878"/>
      <c r="F49" s="3878"/>
      <c r="G49" s="3879"/>
      <c r="I49" s="3864"/>
      <c r="J49" s="3864"/>
      <c r="K49" s="3864"/>
      <c r="L49" s="3864"/>
      <c r="M49" s="3864"/>
      <c r="N49" s="3864"/>
    </row>
    <row r="50" spans="1:14">
      <c r="A50" s="3880"/>
      <c r="B50" s="3864"/>
      <c r="C50" s="3876"/>
      <c r="D50" s="3864"/>
      <c r="E50" s="3864"/>
      <c r="F50" s="3864"/>
      <c r="G50" s="3864"/>
      <c r="I50" s="3864"/>
      <c r="J50" s="3864"/>
      <c r="K50" s="3864"/>
      <c r="L50" s="3864"/>
      <c r="M50" s="3864"/>
      <c r="N50" s="3864"/>
    </row>
    <row r="51" spans="1:14">
      <c r="A51" s="3886"/>
      <c r="B51" s="3864"/>
      <c r="C51" s="3876"/>
      <c r="D51" s="3864"/>
      <c r="E51" s="3864"/>
      <c r="F51" s="3864"/>
      <c r="G51" s="3864"/>
      <c r="I51" s="3864"/>
      <c r="J51" s="3864"/>
      <c r="K51" s="3864"/>
      <c r="L51" s="3864"/>
      <c r="M51" s="3864"/>
      <c r="N51" s="3864"/>
    </row>
    <row r="52" spans="1:14">
      <c r="A52" s="3886" t="s">
        <v>2374</v>
      </c>
      <c r="B52" s="3887"/>
      <c r="C52" s="3876"/>
      <c r="D52" s="3864"/>
      <c r="E52" s="3864"/>
      <c r="F52" s="3864"/>
      <c r="G52" s="3864"/>
      <c r="J52" s="3864"/>
      <c r="K52" s="3864"/>
      <c r="L52" s="3864"/>
      <c r="M52" s="3864"/>
      <c r="N52" s="3864"/>
    </row>
    <row r="53" spans="1:14" ht="15.75" thickBot="1">
      <c r="A53" s="3864"/>
      <c r="B53" s="3864"/>
      <c r="C53" s="3876"/>
      <c r="D53" s="3864"/>
      <c r="E53" s="3864"/>
      <c r="F53" s="4152" t="s">
        <v>843</v>
      </c>
      <c r="G53" s="4152" t="s">
        <v>80</v>
      </c>
      <c r="I53" s="3864"/>
      <c r="J53" s="3864"/>
      <c r="K53" s="3864"/>
      <c r="L53" s="3864"/>
      <c r="M53" s="3864"/>
      <c r="N53" s="3864"/>
    </row>
    <row r="54" spans="1:14">
      <c r="A54" s="3888" t="s">
        <v>2073</v>
      </c>
      <c r="B54" s="3888"/>
      <c r="C54" s="3889"/>
      <c r="D54" s="3858"/>
      <c r="E54" s="3890" t="s">
        <v>2375</v>
      </c>
      <c r="F54" s="3919" t="e">
        <f>G54</f>
        <v>#VALUE!</v>
      </c>
      <c r="G54" s="4140" t="e">
        <f>Personalkosten!G18/SUM(A68*0.077,B68*0.1037,C68*0.1551,D68*0.2463,E68*0.3842)</f>
        <v>#VALUE!</v>
      </c>
      <c r="H54" s="4260" t="s">
        <v>2489</v>
      </c>
      <c r="I54" s="4261"/>
      <c r="J54" s="4262"/>
      <c r="K54" s="4153"/>
      <c r="L54" s="4153"/>
      <c r="M54" s="4153"/>
      <c r="N54" s="4153"/>
    </row>
    <row r="55" spans="1:14">
      <c r="A55" s="3888"/>
      <c r="B55" s="3888"/>
      <c r="C55" s="3889"/>
      <c r="D55" s="3858"/>
      <c r="E55" s="3946" t="s">
        <v>2336</v>
      </c>
      <c r="F55" s="3919" t="e">
        <f>G55</f>
        <v>#VALUE!</v>
      </c>
      <c r="G55" s="4140" t="e">
        <f>Personalkosten!G20/SUM(A68*0.0564,B68*0.0675,C68*0.1074,D68*0.1413,E68*0.1102)</f>
        <v>#VALUE!</v>
      </c>
      <c r="H55" s="4263"/>
      <c r="I55" s="4264"/>
      <c r="J55" s="4265"/>
      <c r="K55" s="4153"/>
      <c r="L55" s="4153"/>
      <c r="M55" s="4153"/>
      <c r="N55" s="4153"/>
    </row>
    <row r="56" spans="1:14" ht="15.75" thickBot="1">
      <c r="A56" s="3864"/>
      <c r="B56" s="3864"/>
      <c r="C56" s="3876"/>
      <c r="D56" s="3864"/>
      <c r="E56" s="3890" t="s">
        <v>2335</v>
      </c>
      <c r="F56" s="3919" t="e">
        <f>G56</f>
        <v>#VALUE!</v>
      </c>
      <c r="G56" s="4140" t="e">
        <f>Personalkosten!G22/SUM(A68*0.0872,B68*0.1202,C68*0.1449,D68*0.1627,E68*0.1758)</f>
        <v>#VALUE!</v>
      </c>
      <c r="H56" s="4266"/>
      <c r="I56" s="4267"/>
      <c r="J56" s="4268"/>
      <c r="K56" s="4153"/>
      <c r="L56" s="4153"/>
      <c r="M56" s="4153"/>
      <c r="N56" s="4153"/>
    </row>
    <row r="57" spans="1:14">
      <c r="A57" s="3864"/>
      <c r="B57" s="3864"/>
      <c r="C57" s="3876"/>
      <c r="D57" s="3864"/>
      <c r="E57" s="3864"/>
      <c r="F57" s="3864"/>
      <c r="G57" s="3864"/>
      <c r="I57" s="3864"/>
      <c r="J57" s="3864"/>
      <c r="K57" s="3864"/>
      <c r="L57" s="3864"/>
      <c r="M57" s="3864"/>
      <c r="N57" s="3864"/>
    </row>
    <row r="58" spans="1:14">
      <c r="A58" s="3891" t="s">
        <v>2376</v>
      </c>
      <c r="B58" s="3891"/>
      <c r="C58" s="3889"/>
      <c r="D58" s="3858"/>
      <c r="E58" s="3864"/>
      <c r="F58" s="3864"/>
      <c r="G58" s="3864"/>
      <c r="J58" s="3864"/>
      <c r="K58" s="3864"/>
      <c r="L58" s="3864"/>
      <c r="M58" s="3864"/>
      <c r="N58" s="3864"/>
    </row>
    <row r="59" spans="1:14">
      <c r="A59" s="3864"/>
      <c r="B59" s="3864"/>
      <c r="C59" s="3876"/>
      <c r="D59" s="3864"/>
      <c r="E59" s="3864"/>
      <c r="F59" s="3864"/>
      <c r="G59" s="3864"/>
      <c r="I59" s="3864"/>
      <c r="J59" s="3864"/>
      <c r="K59" s="3864"/>
      <c r="L59" s="3864"/>
      <c r="M59" s="3864"/>
      <c r="N59" s="3864"/>
    </row>
    <row r="60" spans="1:14" ht="15.75" thickBot="1">
      <c r="A60" s="3892" t="s">
        <v>2058</v>
      </c>
      <c r="B60" s="3892" t="s">
        <v>2059</v>
      </c>
      <c r="C60" s="3892" t="s">
        <v>2060</v>
      </c>
      <c r="D60" s="3892" t="s">
        <v>2061</v>
      </c>
      <c r="E60" s="3892" t="s">
        <v>1444</v>
      </c>
      <c r="F60" s="3893"/>
      <c r="I60" s="3864"/>
      <c r="J60" s="3864"/>
      <c r="K60" s="3864"/>
      <c r="L60" s="3864"/>
      <c r="M60" s="3864"/>
      <c r="N60" s="3864"/>
    </row>
    <row r="61" spans="1:14">
      <c r="A61" s="3894" t="e">
        <f>0.077*F54</f>
        <v>#VALUE!</v>
      </c>
      <c r="B61" s="3894" t="e">
        <f>0.1037*F54</f>
        <v>#VALUE!</v>
      </c>
      <c r="C61" s="3894" t="e">
        <f>0.1551*F54</f>
        <v>#VALUE!</v>
      </c>
      <c r="D61" s="3894" t="e">
        <f>0.2463*F54</f>
        <v>#VALUE!</v>
      </c>
      <c r="E61" s="3894" t="e">
        <f>0.3842*F54</f>
        <v>#VALUE!</v>
      </c>
      <c r="F61" s="3890" t="s">
        <v>2337</v>
      </c>
      <c r="H61" s="4260" t="s">
        <v>2490</v>
      </c>
      <c r="I61" s="4262"/>
      <c r="J61" s="3864"/>
      <c r="K61" s="3864"/>
      <c r="L61" s="3864"/>
      <c r="M61" s="3864"/>
      <c r="N61" s="3864"/>
    </row>
    <row r="62" spans="1:14">
      <c r="A62" s="3949" t="e">
        <f>0.0564*F55</f>
        <v>#VALUE!</v>
      </c>
      <c r="B62" s="3949" t="e">
        <f>0.0675*F55</f>
        <v>#VALUE!</v>
      </c>
      <c r="C62" s="3949" t="e">
        <f>0.1074*F55</f>
        <v>#VALUE!</v>
      </c>
      <c r="D62" s="3949" t="e">
        <f>0.1413*F55</f>
        <v>#VALUE!</v>
      </c>
      <c r="E62" s="3949" t="e">
        <f>0.1102*F55</f>
        <v>#VALUE!</v>
      </c>
      <c r="F62" s="3946" t="s">
        <v>2336</v>
      </c>
      <c r="H62" s="4263"/>
      <c r="I62" s="4265"/>
      <c r="J62" s="3864"/>
      <c r="K62" s="3864"/>
      <c r="L62" s="3864"/>
      <c r="M62" s="3864"/>
      <c r="N62" s="3864"/>
    </row>
    <row r="63" spans="1:14" ht="15.75" thickBot="1">
      <c r="A63" s="3894" t="e">
        <f>0.0872*F56</f>
        <v>#VALUE!</v>
      </c>
      <c r="B63" s="3894" t="e">
        <f>0.1202*F56</f>
        <v>#VALUE!</v>
      </c>
      <c r="C63" s="3894" t="e">
        <f>0.1449*F56</f>
        <v>#VALUE!</v>
      </c>
      <c r="D63" s="3894" t="e">
        <f>0.1627*F56</f>
        <v>#VALUE!</v>
      </c>
      <c r="E63" s="3894" t="e">
        <f>0.1758*F56</f>
        <v>#VALUE!</v>
      </c>
      <c r="F63" s="3890" t="s">
        <v>2335</v>
      </c>
      <c r="H63" s="4266"/>
      <c r="I63" s="4268"/>
      <c r="J63" s="3864"/>
      <c r="K63" s="3864"/>
      <c r="L63" s="3864"/>
      <c r="M63" s="3864"/>
      <c r="N63" s="3864"/>
    </row>
    <row r="64" spans="1:14">
      <c r="A64" s="3864"/>
      <c r="B64" s="3864"/>
      <c r="C64" s="3876"/>
      <c r="D64" s="3864"/>
      <c r="E64" s="3864"/>
      <c r="F64" s="3864"/>
      <c r="G64" s="3864"/>
      <c r="I64" s="3864"/>
      <c r="J64" s="3864"/>
      <c r="K64" s="3864"/>
      <c r="L64" s="3864"/>
      <c r="M64" s="3864"/>
      <c r="N64" s="3864"/>
    </row>
    <row r="65" spans="1:14">
      <c r="A65" s="3891" t="s">
        <v>2377</v>
      </c>
      <c r="B65" s="3895"/>
      <c r="C65" s="3876"/>
      <c r="D65" s="3864"/>
      <c r="E65" s="3864"/>
      <c r="F65" s="3864"/>
      <c r="G65" s="3864"/>
      <c r="I65" s="3864"/>
      <c r="J65" s="3864"/>
      <c r="K65" s="3864"/>
      <c r="L65" s="3864"/>
      <c r="M65" s="3864"/>
      <c r="N65" s="3864"/>
    </row>
    <row r="66" spans="1:14">
      <c r="A66" s="3895"/>
      <c r="B66" s="3895"/>
      <c r="C66" s="3876"/>
      <c r="D66" s="3864"/>
      <c r="E66" s="3864"/>
      <c r="F66" s="3864"/>
      <c r="G66" s="3864"/>
      <c r="I66" s="3864"/>
      <c r="J66" s="3864"/>
      <c r="K66" s="3864"/>
      <c r="L66" s="3864"/>
      <c r="M66" s="3864"/>
      <c r="N66" s="3864"/>
    </row>
    <row r="67" spans="1:14">
      <c r="A67" s="3896" t="s">
        <v>811</v>
      </c>
      <c r="B67" s="3896" t="s">
        <v>812</v>
      </c>
      <c r="C67" s="3897" t="s">
        <v>813</v>
      </c>
      <c r="D67" s="3896" t="s">
        <v>814</v>
      </c>
      <c r="E67" s="3896" t="s">
        <v>815</v>
      </c>
      <c r="F67" s="3898"/>
      <c r="I67" s="3864"/>
      <c r="J67" s="3864"/>
      <c r="K67" s="3864"/>
      <c r="L67" s="3864"/>
      <c r="M67" s="3864"/>
      <c r="N67" s="3864"/>
    </row>
    <row r="68" spans="1:14">
      <c r="A68" s="3899" t="e">
        <f>Ergebnis!B6</f>
        <v>#VALUE!</v>
      </c>
      <c r="B68" s="3899" t="e">
        <f>Ergebnis!C6</f>
        <v>#VALUE!</v>
      </c>
      <c r="C68" s="3900" t="e">
        <f>Ergebnis!D6</f>
        <v>#VALUE!</v>
      </c>
      <c r="D68" s="3899" t="e">
        <f>Ergebnis!E6</f>
        <v>#VALUE!</v>
      </c>
      <c r="E68" s="3899" t="e">
        <f>Ergebnis!F6</f>
        <v>#VALUE!</v>
      </c>
      <c r="F68" s="3901"/>
      <c r="I68" s="3864"/>
      <c r="J68" s="3864"/>
      <c r="K68" s="3864"/>
      <c r="L68" s="3864"/>
      <c r="M68" s="3864"/>
      <c r="N68" s="3864"/>
    </row>
    <row r="69" spans="1:14">
      <c r="A69" s="3895"/>
      <c r="B69" s="3895"/>
      <c r="C69" s="3876"/>
      <c r="D69" s="3864"/>
      <c r="E69" s="3864"/>
      <c r="F69" s="3864"/>
      <c r="G69" s="3864"/>
      <c r="I69" s="3864"/>
      <c r="J69" s="3864"/>
      <c r="K69" s="3864"/>
      <c r="L69" s="3864"/>
      <c r="M69" s="3864"/>
      <c r="N69" s="3864"/>
    </row>
    <row r="70" spans="1:14">
      <c r="A70" s="3901" t="s">
        <v>2378</v>
      </c>
      <c r="B70" s="3901"/>
      <c r="C70" s="3901"/>
      <c r="D70" s="3902"/>
      <c r="E70" s="3901"/>
      <c r="F70" s="3901"/>
      <c r="G70" s="3901"/>
      <c r="I70" s="3864"/>
      <c r="J70" s="3864"/>
      <c r="K70" s="3864"/>
      <c r="L70" s="3864"/>
      <c r="M70" s="3864"/>
      <c r="N70" s="3864"/>
    </row>
    <row r="71" spans="1:14">
      <c r="A71" s="3903"/>
      <c r="B71" s="3904"/>
      <c r="C71" s="3901"/>
      <c r="D71" s="3902"/>
      <c r="E71" s="3901"/>
      <c r="F71" s="3901"/>
      <c r="G71" s="3901"/>
      <c r="I71" s="3864"/>
      <c r="J71" s="3864"/>
      <c r="K71" s="3864"/>
      <c r="L71" s="3864"/>
      <c r="M71" s="3864"/>
      <c r="N71" s="3864"/>
    </row>
    <row r="72" spans="1:14">
      <c r="A72" s="3896" t="s">
        <v>811</v>
      </c>
      <c r="B72" s="3896" t="s">
        <v>812</v>
      </c>
      <c r="C72" s="3897" t="s">
        <v>813</v>
      </c>
      <c r="D72" s="3896" t="s">
        <v>814</v>
      </c>
      <c r="E72" s="3896" t="s">
        <v>815</v>
      </c>
      <c r="F72" s="3896" t="s">
        <v>32</v>
      </c>
      <c r="G72" s="3888"/>
      <c r="I72" s="3864"/>
      <c r="J72" s="3864"/>
      <c r="K72" s="3864"/>
      <c r="L72" s="3864"/>
      <c r="M72" s="3864"/>
      <c r="N72" s="3864"/>
    </row>
    <row r="73" spans="1:14">
      <c r="A73" s="3905" t="e">
        <f>+A61*A68</f>
        <v>#VALUE!</v>
      </c>
      <c r="B73" s="3905" t="e">
        <f>+B61*B68</f>
        <v>#VALUE!</v>
      </c>
      <c r="C73" s="3905" t="e">
        <f>+C61*C68</f>
        <v>#VALUE!</v>
      </c>
      <c r="D73" s="3905" t="e">
        <f>+D61*D68</f>
        <v>#VALUE!</v>
      </c>
      <c r="E73" s="3905" t="e">
        <f>+E61*E68</f>
        <v>#VALUE!</v>
      </c>
      <c r="F73" s="3906" t="e">
        <f>SUM(A73:E73)</f>
        <v>#VALUE!</v>
      </c>
      <c r="G73" s="3890" t="s">
        <v>2337</v>
      </c>
      <c r="I73" s="3864"/>
      <c r="J73" s="3864"/>
      <c r="K73" s="3864"/>
      <c r="L73" s="3864"/>
      <c r="M73" s="3864"/>
      <c r="N73" s="3864"/>
    </row>
    <row r="74" spans="1:14">
      <c r="A74" s="3950" t="e">
        <f>+A62*A68</f>
        <v>#VALUE!</v>
      </c>
      <c r="B74" s="3950" t="e">
        <f>+B62*B68</f>
        <v>#VALUE!</v>
      </c>
      <c r="C74" s="3950" t="e">
        <f>+C62*C68</f>
        <v>#VALUE!</v>
      </c>
      <c r="D74" s="3950" t="e">
        <f>+D62*D68</f>
        <v>#VALUE!</v>
      </c>
      <c r="E74" s="3950" t="e">
        <f>+E62*E68</f>
        <v>#VALUE!</v>
      </c>
      <c r="F74" s="3906" t="e">
        <f>SUM(A74:E74)</f>
        <v>#VALUE!</v>
      </c>
      <c r="G74" s="3946" t="s">
        <v>2336</v>
      </c>
      <c r="I74" s="3864"/>
      <c r="J74" s="3864"/>
      <c r="K74" s="3864"/>
      <c r="L74" s="3864"/>
      <c r="M74" s="3864"/>
      <c r="N74" s="3864"/>
    </row>
    <row r="75" spans="1:14">
      <c r="A75" s="3905" t="e">
        <f>+A63*A68</f>
        <v>#VALUE!</v>
      </c>
      <c r="B75" s="3905" t="e">
        <f>+B63*B68</f>
        <v>#VALUE!</v>
      </c>
      <c r="C75" s="3905" t="e">
        <f>+C63*C68</f>
        <v>#VALUE!</v>
      </c>
      <c r="D75" s="3905" t="e">
        <f>+D63*D68</f>
        <v>#VALUE!</v>
      </c>
      <c r="E75" s="3905" t="e">
        <f>+E63*E68</f>
        <v>#VALUE!</v>
      </c>
      <c r="F75" s="3906" t="e">
        <f>SUM(A75:E75)</f>
        <v>#VALUE!</v>
      </c>
      <c r="G75" s="3890" t="s">
        <v>2335</v>
      </c>
      <c r="I75" s="3864"/>
      <c r="J75" s="3864"/>
      <c r="K75" s="3864"/>
      <c r="L75" s="3864"/>
      <c r="M75" s="3864"/>
      <c r="N75" s="3864"/>
    </row>
    <row r="76" spans="1:14">
      <c r="A76" s="3888"/>
      <c r="B76" s="3888"/>
      <c r="C76" s="3888"/>
      <c r="D76" s="3888"/>
      <c r="E76" s="3888"/>
      <c r="F76" s="3888"/>
      <c r="G76" s="3888"/>
      <c r="I76" s="3864"/>
      <c r="J76" s="3864"/>
      <c r="K76" s="3864"/>
      <c r="L76" s="3864"/>
      <c r="M76" s="3864"/>
      <c r="N76" s="3864"/>
    </row>
    <row r="77" spans="1:14">
      <c r="A77" s="3907" t="s">
        <v>2373</v>
      </c>
      <c r="B77" s="3888"/>
      <c r="C77" s="3888"/>
      <c r="D77" s="3888"/>
      <c r="E77" s="3888"/>
      <c r="F77" s="3888"/>
      <c r="G77" s="3955" t="s">
        <v>2373</v>
      </c>
      <c r="I77" s="3864"/>
      <c r="J77" s="3864"/>
      <c r="K77" s="3864"/>
      <c r="L77" s="3864"/>
      <c r="M77" s="3864"/>
      <c r="N77" s="3864"/>
    </row>
    <row r="78" spans="1:14">
      <c r="A78" s="3908" t="str">
        <f>"Maximalwerte für den Vereinbarungszeitraum "&amp;TEXT(Ergebnis!H2,"TT.MM.JJJJ")&amp;" bis "&amp;TEXT(Ergebnis!H3,"TT.MM.JJJJ")</f>
        <v>Maximalwerte für den Vereinbarungszeitraum 01.03.2025 bis 28.02.2026</v>
      </c>
      <c r="B78" s="3907"/>
      <c r="C78" s="3907"/>
      <c r="D78" s="3909"/>
      <c r="E78" s="3910"/>
      <c r="F78" s="3909"/>
      <c r="G78" s="3956" t="s">
        <v>2420</v>
      </c>
      <c r="J78" s="3864"/>
      <c r="K78" s="3864"/>
      <c r="L78" s="3864"/>
      <c r="M78" s="3864"/>
      <c r="N78" s="3864"/>
    </row>
    <row r="79" spans="1:14">
      <c r="A79" s="3888"/>
      <c r="B79" s="3888"/>
      <c r="C79" s="3888"/>
      <c r="D79" s="3888"/>
      <c r="E79" s="3888"/>
      <c r="F79" s="3888"/>
      <c r="G79" s="3957"/>
      <c r="I79" s="3864"/>
      <c r="J79" s="3864"/>
      <c r="K79" s="3864"/>
      <c r="L79" s="3864"/>
      <c r="M79" s="3864"/>
      <c r="N79" s="3864"/>
    </row>
    <row r="80" spans="1:14">
      <c r="A80" s="3911" t="s">
        <v>2337</v>
      </c>
      <c r="B80" s="3912" t="e">
        <f>IF(OR(G24=0,Bestandsschutz_2023!D80="Richtwert § 113c SGB XI"),F73,MAX(G24,F73))</f>
        <v>#VALUE!</v>
      </c>
      <c r="C80" s="3913" t="s">
        <v>1169</v>
      </c>
      <c r="D80" s="3911" t="e">
        <f>IF(B80=F73,"Richtwert § 113c SGB XI","Bestandsschutz")</f>
        <v>#VALUE!</v>
      </c>
      <c r="F80" s="3888"/>
      <c r="G80" s="3958" t="e">
        <f>IF(Personalkosten!G18&lt;'Personalmenge 113c'!B80,Personalkosten!G18,'Personalmenge 113c'!B80)</f>
        <v>#VALUE!</v>
      </c>
      <c r="I80" s="3864"/>
      <c r="J80" s="3864"/>
      <c r="K80" s="3864"/>
      <c r="L80" s="3864"/>
      <c r="M80" s="3864"/>
      <c r="N80" s="3864"/>
    </row>
    <row r="81" spans="1:14">
      <c r="A81" s="3911" t="s">
        <v>2336</v>
      </c>
      <c r="B81" s="3912" t="e">
        <f>IF(OR(G36=0,Bestandsschutz_2023!D81="Richtwert § 113c SGB XI"),F74,MAX(G36,F74))</f>
        <v>#VALUE!</v>
      </c>
      <c r="C81" s="3913" t="s">
        <v>1169</v>
      </c>
      <c r="D81" s="3911" t="e">
        <f>IF(B81=F74,"Richtwert § 113c SGB XI","Bestandsschutz")</f>
        <v>#VALUE!</v>
      </c>
      <c r="F81" s="3888"/>
      <c r="G81" s="3958" t="e">
        <f>IF(Personalkosten!G20&lt;'Personalmenge 113c'!B81,Personalkosten!G20,'Personalmenge 113c'!B81)</f>
        <v>#VALUE!</v>
      </c>
      <c r="I81" s="3864"/>
      <c r="J81" s="3864"/>
      <c r="K81" s="3864"/>
      <c r="L81" s="3864"/>
      <c r="M81" s="3864"/>
      <c r="N81" s="3864"/>
    </row>
    <row r="82" spans="1:14">
      <c r="A82" s="3911" t="s">
        <v>2335</v>
      </c>
      <c r="B82" s="3912" t="e">
        <f>IF(OR(G48=0,Bestandsschutz_2023!D82="Richtwert § 113c SGB XI"),F75,MAX(G48,F75))</f>
        <v>#VALUE!</v>
      </c>
      <c r="C82" s="3913" t="s">
        <v>1169</v>
      </c>
      <c r="D82" s="3911" t="e">
        <f>IF(B82=F75,"Richtwert § 113c SGB XI","Bestandsschutz")</f>
        <v>#VALUE!</v>
      </c>
      <c r="F82" s="3888"/>
      <c r="G82" s="3959" t="e">
        <f>IF(Personalkosten!G22&lt;'Personalmenge 113c'!B82,Personalkosten!G22,'Personalmenge 113c'!B82)</f>
        <v>#VALUE!</v>
      </c>
      <c r="I82" s="3864"/>
      <c r="J82" s="3864"/>
      <c r="K82" s="3864"/>
      <c r="L82" s="3864"/>
      <c r="M82" s="3864"/>
      <c r="N82" s="3864"/>
    </row>
    <row r="83" spans="1:14">
      <c r="A83" s="3888"/>
      <c r="B83" s="3914"/>
      <c r="C83" s="3888"/>
      <c r="D83" s="3888"/>
      <c r="E83" s="3888"/>
      <c r="F83" s="3888"/>
      <c r="G83" s="3958" t="e">
        <f>SUM(G80:G82)</f>
        <v>#VALUE!</v>
      </c>
      <c r="I83" s="3864"/>
      <c r="J83" s="3864"/>
      <c r="K83" s="3864"/>
      <c r="L83" s="3864"/>
      <c r="M83" s="3864"/>
      <c r="N83" s="3864"/>
    </row>
    <row r="84" spans="1:14">
      <c r="A84" s="3888"/>
      <c r="B84" s="3914"/>
      <c r="C84" s="3888"/>
      <c r="D84" s="3888"/>
      <c r="E84" s="3888"/>
      <c r="F84" s="3888"/>
      <c r="G84" s="3888"/>
      <c r="I84" s="3864"/>
      <c r="J84" s="3864"/>
      <c r="K84" s="3864"/>
      <c r="L84" s="3864"/>
      <c r="M84" s="3864"/>
      <c r="N84" s="3864"/>
    </row>
    <row r="85" spans="1:14">
      <c r="A85" s="3888"/>
      <c r="B85" s="3914"/>
      <c r="C85" s="3888"/>
      <c r="D85" s="3888"/>
      <c r="E85" s="3888"/>
      <c r="F85" s="3888"/>
      <c r="G85" s="3888"/>
      <c r="I85" s="3864"/>
      <c r="J85" s="3864"/>
      <c r="K85" s="3864"/>
      <c r="L85" s="3864"/>
      <c r="M85" s="3864"/>
      <c r="N85" s="3864"/>
    </row>
    <row r="86" spans="1:14">
      <c r="A86" s="4085" t="s">
        <v>2475</v>
      </c>
      <c r="B86" s="4086"/>
      <c r="C86" s="4101"/>
      <c r="D86" s="4086"/>
      <c r="E86" s="4086"/>
      <c r="F86" s="4086"/>
      <c r="G86" s="4086"/>
      <c r="I86" s="3864"/>
      <c r="J86" s="3864"/>
      <c r="K86" s="3864"/>
      <c r="L86" s="3864"/>
      <c r="M86" s="3864"/>
      <c r="N86" s="3864"/>
    </row>
    <row r="87" spans="1:14">
      <c r="A87" s="4035"/>
      <c r="B87" s="4035"/>
      <c r="C87" s="4035"/>
      <c r="D87" s="4035"/>
      <c r="E87" s="4144"/>
      <c r="F87" s="4035"/>
      <c r="G87" s="4146" t="s">
        <v>843</v>
      </c>
    </row>
    <row r="88" spans="1:14">
      <c r="A88" s="4035" t="s">
        <v>2468</v>
      </c>
      <c r="B88" s="4035"/>
      <c r="C88" s="4035"/>
      <c r="D88" s="4035"/>
      <c r="E88" s="4035"/>
      <c r="F88" s="4035"/>
      <c r="G88" s="4141" t="str">
        <f>IF(ISNUMBER(Übergangsregelung!G41),Übergangsregelung!G41,"")</f>
        <v/>
      </c>
    </row>
    <row r="89" spans="1:14" ht="15.75" thickBot="1">
      <c r="A89" s="4143" t="s">
        <v>2476</v>
      </c>
      <c r="B89" s="4035"/>
      <c r="C89" s="4035"/>
      <c r="D89" s="4035"/>
      <c r="E89" s="4141" t="e">
        <f>K22</f>
        <v>#VALUE!</v>
      </c>
      <c r="F89" s="4035"/>
      <c r="G89" s="4145" t="e">
        <f>E89</f>
        <v>#VALUE!</v>
      </c>
    </row>
    <row r="90" spans="1:14" ht="15.75" thickBot="1">
      <c r="A90" s="4143" t="s">
        <v>2477</v>
      </c>
      <c r="B90" s="4035"/>
      <c r="C90" s="4035"/>
      <c r="D90" s="4035"/>
      <c r="E90" s="4141" t="e">
        <f>K46</f>
        <v>#VALUE!</v>
      </c>
      <c r="F90" s="4035"/>
      <c r="G90" s="4145" t="e">
        <f>E90</f>
        <v>#VALUE!</v>
      </c>
      <c r="I90" s="4269" t="s">
        <v>2491</v>
      </c>
      <c r="J90" s="4270"/>
    </row>
    <row r="91" spans="1:14" ht="8.1" customHeight="1">
      <c r="A91" s="4143"/>
      <c r="B91" s="4035"/>
      <c r="C91" s="4035"/>
      <c r="D91" s="4035"/>
      <c r="E91" s="4141"/>
      <c r="F91" s="4035"/>
      <c r="G91" s="4141"/>
    </row>
    <row r="92" spans="1:14">
      <c r="A92" s="4035" t="s">
        <v>2469</v>
      </c>
      <c r="B92" s="4035"/>
      <c r="C92" s="4035"/>
      <c r="D92" s="4035"/>
      <c r="E92" s="4035"/>
      <c r="F92" s="4035"/>
      <c r="G92" s="4122" t="str">
        <f>Personalkosten!G20</f>
        <v/>
      </c>
    </row>
    <row r="93" spans="1:14">
      <c r="A93" s="4035"/>
      <c r="B93" s="4035"/>
      <c r="C93" s="4035"/>
      <c r="D93" s="4035"/>
      <c r="E93" s="4035"/>
      <c r="F93" s="4035"/>
      <c r="G93" s="4142" t="e">
        <f>SUM(G88:G92)</f>
        <v>#VALUE!</v>
      </c>
    </row>
    <row r="94" spans="1:14">
      <c r="A94" s="4035"/>
      <c r="B94" s="4035"/>
      <c r="C94" s="4035"/>
      <c r="D94" s="4035"/>
      <c r="E94" s="4035"/>
      <c r="F94" s="4035"/>
      <c r="G94" s="4035"/>
    </row>
    <row r="95" spans="1:14">
      <c r="A95" s="4035" t="e">
        <f>IF(G93&gt;SUM(0.0564*A68,0.0675*B68,0.1074*C68,0.1413*D68,0.1102*E68),"Achtung: Richtwert § 113c SGB XI überschritten! Personalmenge in Zelle G92 anpassen!","")</f>
        <v>#VALUE!</v>
      </c>
      <c r="B95" s="4035"/>
      <c r="C95" s="4035"/>
      <c r="D95" s="4035"/>
      <c r="E95" s="4035"/>
      <c r="F95" s="4035"/>
      <c r="G95" s="4035"/>
    </row>
  </sheetData>
  <mergeCells count="5">
    <mergeCell ref="I1:K2"/>
    <mergeCell ref="A5:G5"/>
    <mergeCell ref="H54:J56"/>
    <mergeCell ref="H61:I63"/>
    <mergeCell ref="I90:J90"/>
  </mergeCells>
  <dataValidations disablePrompts="1" count="1">
    <dataValidation type="list" allowBlank="1" showInputMessage="1" showErrorMessage="1" sqref="J31:J33">
      <formula1>"ja,nein"</formula1>
    </dataValidation>
  </dataValidations>
  <printOptions horizontalCentered="1"/>
  <pageMargins left="0.70866141732283472" right="0.31496062992125984" top="0.59055118110236227" bottom="0.59055118110236227" header="0.31496062992125984" footer="0.31496062992125984"/>
  <pageSetup paperSize="9" scale="60" orientation="portrait" horizontalDpi="300" verticalDpi="300" r:id="rId1"/>
  <headerFooter>
    <oddFooter>&amp;C&amp;F</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 id="{A975CFD2-D061-4A54-888D-34A43693FCED}">
            <xm:f>AND(Bestandsschutz_2023!$D$80="Richtwert § 113c SGB+Bestandsschutz_2023!$6:$58 XI",Bestandsschutz_2023!$D$81="Richtwert § 113c SGB+Bestandsschutz_2023!$6:$58 XI",Bestandsschutz_2023!$D$82="Richtwert § 113c SGB+Bestandsschutz_2023!$6:$58 XI")</xm:f>
            <x14:dxf>
              <font>
                <color theme="0"/>
              </font>
              <border>
                <left style="thin">
                  <color theme="0"/>
                </left>
                <right style="thin">
                  <color theme="0"/>
                </right>
                <top style="thin">
                  <color theme="0"/>
                </top>
                <bottom style="thin">
                  <color theme="0"/>
                </bottom>
                <vertical/>
                <horizontal/>
              </border>
            </x14:dxf>
          </x14:cfRule>
          <xm:sqref>A6:G12</xm:sqref>
        </x14:conditionalFormatting>
        <x14:conditionalFormatting xmlns:xm="http://schemas.microsoft.com/office/excel/2006/main">
          <x14:cfRule type="expression" priority="3" id="{58D3F186-F9C2-495A-8181-699C39B5F617}">
            <xm:f>Bestandsschutz_2023!$D$82="Richtwert § 113c SGB XI"</xm:f>
            <x14:dxf>
              <font>
                <color theme="0"/>
              </font>
              <fill>
                <patternFill>
                  <bgColor theme="0"/>
                </patternFill>
              </fill>
              <border>
                <left style="thin">
                  <color theme="0"/>
                </left>
                <right style="thin">
                  <color theme="0"/>
                </right>
                <top style="thin">
                  <color theme="0"/>
                </top>
                <bottom style="thin">
                  <color theme="0"/>
                </bottom>
                <vertical/>
                <horizontal/>
              </border>
            </x14:dxf>
          </x14:cfRule>
          <xm:sqref>A39:G49</xm:sqref>
        </x14:conditionalFormatting>
        <x14:conditionalFormatting xmlns:xm="http://schemas.microsoft.com/office/excel/2006/main">
          <x14:cfRule type="expression" priority="2" id="{69C97CB2-3F00-410C-AD9E-D0D695E81632}">
            <xm:f>Bestandsschutz_2023!$D$81="Richtwert § 113c SGB XI"</xm:f>
            <x14:dxf>
              <font>
                <color theme="0"/>
              </font>
              <fill>
                <patternFill>
                  <bgColor theme="0"/>
                </patternFill>
              </fill>
              <border>
                <left style="thin">
                  <color theme="0"/>
                </left>
                <right style="thin">
                  <color theme="0"/>
                </right>
                <top style="thin">
                  <color theme="0"/>
                </top>
                <bottom style="thin">
                  <color theme="0"/>
                </bottom>
                <vertical/>
                <horizontal/>
              </border>
            </x14:dxf>
          </x14:cfRule>
          <xm:sqref>A27:G37</xm:sqref>
        </x14:conditionalFormatting>
        <x14:conditionalFormatting xmlns:xm="http://schemas.microsoft.com/office/excel/2006/main">
          <x14:cfRule type="expression" priority="1" id="{9B4CC27F-EEEC-4CA1-82A8-B2EB377131A1}">
            <xm:f>Bestandsschutz_2023!$D$80="Richtwert § 113c SGB XI"</xm:f>
            <x14:dxf>
              <font>
                <color theme="0"/>
              </font>
              <fill>
                <patternFill>
                  <bgColor theme="0"/>
                </patternFill>
              </fill>
              <border>
                <left style="thin">
                  <color theme="0"/>
                </left>
                <right style="thin">
                  <color theme="0"/>
                </right>
                <top style="thin">
                  <color theme="0"/>
                </top>
                <bottom style="thin">
                  <color theme="0"/>
                </bottom>
                <vertical/>
                <horizontal/>
              </border>
            </x14:dxf>
          </x14:cfRule>
          <xm:sqref>A14:G25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1">
    <pageSetUpPr fitToPage="1"/>
  </sheetPr>
  <dimension ref="A1:J56"/>
  <sheetViews>
    <sheetView workbookViewId="0">
      <selection activeCell="G30" sqref="G30"/>
    </sheetView>
  </sheetViews>
  <sheetFormatPr baseColWidth="10" defaultColWidth="11.42578125" defaultRowHeight="15" outlineLevelRow="1"/>
  <cols>
    <col min="1" max="7" width="13.28515625" style="3818" customWidth="1"/>
    <col min="8" max="8" width="11.42578125" style="3818"/>
    <col min="9" max="9" width="11.42578125" style="3818" customWidth="1"/>
    <col min="10" max="16384" width="11.42578125" style="3818"/>
  </cols>
  <sheetData>
    <row r="1" spans="1:10" ht="15" customHeight="1">
      <c r="A1" s="3815"/>
      <c r="B1" s="3816"/>
      <c r="C1" s="3816"/>
      <c r="D1" s="3816"/>
      <c r="E1" s="3816"/>
      <c r="F1" s="3816"/>
      <c r="G1" s="3817"/>
    </row>
    <row r="2" spans="1:10" s="3823" customFormat="1" ht="18" customHeight="1">
      <c r="A2" s="3819" t="s">
        <v>2357</v>
      </c>
      <c r="B2" s="3820"/>
      <c r="C2" s="3821"/>
      <c r="D2" s="3821"/>
      <c r="E2" s="3821"/>
      <c r="F2" s="3821"/>
      <c r="G2" s="3822"/>
      <c r="I2" s="3824"/>
      <c r="J2" s="3824"/>
    </row>
    <row r="3" spans="1:10" s="3823" customFormat="1" ht="18" customHeight="1">
      <c r="A3" s="3825" t="s">
        <v>2379</v>
      </c>
      <c r="B3" s="3826"/>
      <c r="C3" s="3827"/>
      <c r="D3" s="3827"/>
      <c r="E3" s="3827"/>
      <c r="F3" s="3827"/>
      <c r="G3" s="3828"/>
      <c r="I3" s="3831"/>
      <c r="J3" s="3831"/>
    </row>
    <row r="4" spans="1:10" s="3823" customFormat="1" ht="18" customHeight="1">
      <c r="A4" s="3825" t="s">
        <v>2380</v>
      </c>
      <c r="B4" s="3826"/>
      <c r="C4" s="3827"/>
      <c r="D4" s="3827"/>
      <c r="E4" s="3827"/>
      <c r="F4" s="3827"/>
      <c r="G4" s="3828"/>
      <c r="I4" s="3831"/>
      <c r="J4" s="3831"/>
    </row>
    <row r="5" spans="1:10" s="3823" customFormat="1" ht="13.9" customHeight="1" thickBot="1">
      <c r="A5" s="3832"/>
      <c r="B5" s="3833"/>
      <c r="C5" s="3834"/>
      <c r="D5" s="3834"/>
      <c r="E5" s="3834"/>
      <c r="F5" s="3834"/>
      <c r="G5" s="3835"/>
      <c r="I5" s="3836"/>
      <c r="J5" s="3836"/>
    </row>
    <row r="6" spans="1:10" s="3823" customFormat="1" ht="15" customHeight="1">
      <c r="A6" s="3826"/>
      <c r="B6" s="3826"/>
      <c r="C6" s="3837"/>
      <c r="D6" s="3837"/>
      <c r="E6" s="3837"/>
      <c r="F6" s="3837"/>
      <c r="G6" s="3837"/>
      <c r="I6" s="3836"/>
      <c r="J6" s="3836"/>
    </row>
    <row r="7" spans="1:10" s="3823" customFormat="1" ht="15" customHeight="1">
      <c r="A7" s="3851" t="s">
        <v>2362</v>
      </c>
      <c r="B7" s="3852"/>
      <c r="C7" s="3853"/>
      <c r="D7" s="3853"/>
      <c r="E7" s="3853"/>
      <c r="F7" s="3853"/>
      <c r="G7" s="3854"/>
      <c r="I7" s="3836"/>
      <c r="J7" s="3836"/>
    </row>
    <row r="8" spans="1:10" s="3823" customFormat="1" ht="15" customHeight="1">
      <c r="A8" s="3859"/>
      <c r="B8" s="3860"/>
      <c r="C8" s="3860"/>
      <c r="D8" s="3860"/>
      <c r="E8" s="3860"/>
      <c r="F8" s="3860"/>
      <c r="G8" s="3861"/>
      <c r="I8" s="3836"/>
      <c r="J8" s="3836"/>
    </row>
    <row r="9" spans="1:10" s="3823" customFormat="1" ht="15" customHeight="1">
      <c r="A9" s="3862" t="s">
        <v>2363</v>
      </c>
      <c r="B9" s="3863"/>
      <c r="C9" s="3864"/>
      <c r="D9" s="3864"/>
      <c r="E9" s="3863" t="s">
        <v>2364</v>
      </c>
      <c r="F9" s="3863"/>
      <c r="G9" s="3865"/>
      <c r="I9" s="3836"/>
      <c r="J9" s="3836"/>
    </row>
    <row r="10" spans="1:10" s="3823" customFormat="1" ht="15" customHeight="1">
      <c r="A10" s="3867"/>
      <c r="B10" s="3864"/>
      <c r="C10" s="3864"/>
      <c r="D10" s="3864"/>
      <c r="E10" s="3864"/>
      <c r="F10" s="3864"/>
      <c r="G10" s="3865"/>
      <c r="I10" s="3836"/>
      <c r="J10" s="3836"/>
    </row>
    <row r="11" spans="1:10" s="3823" customFormat="1" ht="15" customHeight="1">
      <c r="A11" s="3867" t="s">
        <v>1950</v>
      </c>
      <c r="B11" s="3864"/>
      <c r="C11" s="3868" t="str">
        <f>'Personalmenge 113c'!C18</f>
        <v/>
      </c>
      <c r="D11" s="3864"/>
      <c r="E11" s="3864" t="s">
        <v>2365</v>
      </c>
      <c r="F11" s="3864"/>
      <c r="G11" s="3922">
        <f>'Personalmenge 113c'!G18</f>
        <v>38.729999999999997</v>
      </c>
      <c r="I11" s="3923"/>
      <c r="J11" s="3836"/>
    </row>
    <row r="12" spans="1:10" s="3823" customFormat="1" ht="15" customHeight="1">
      <c r="A12" s="3867" t="s">
        <v>2366</v>
      </c>
      <c r="B12" s="3864"/>
      <c r="C12" s="3870" t="str">
        <f>'Personalmenge 113c'!C19</f>
        <v/>
      </c>
      <c r="D12" s="3864"/>
      <c r="E12" s="3864" t="s">
        <v>2367</v>
      </c>
      <c r="F12" s="3864"/>
      <c r="G12" s="3873">
        <f>'Personalmenge 113c'!G19</f>
        <v>0</v>
      </c>
      <c r="I12" s="3836"/>
      <c r="J12" s="3836"/>
    </row>
    <row r="13" spans="1:10" s="3823" customFormat="1" ht="15" customHeight="1">
      <c r="A13" s="3867" t="s">
        <v>2051</v>
      </c>
      <c r="B13" s="3864"/>
      <c r="C13" s="3884" t="str">
        <f>'Personalmenge 113c'!C20</f>
        <v/>
      </c>
      <c r="D13" s="3864"/>
      <c r="E13" s="3864" t="s">
        <v>2051</v>
      </c>
      <c r="F13" s="3864"/>
      <c r="G13" s="3873">
        <f>'Personalmenge 113c'!G20</f>
        <v>0</v>
      </c>
      <c r="I13" s="3836"/>
      <c r="J13" s="3836"/>
    </row>
    <row r="14" spans="1:10" s="3823" customFormat="1" ht="15" customHeight="1">
      <c r="A14" s="3867" t="s">
        <v>2368</v>
      </c>
      <c r="B14" s="3864"/>
      <c r="C14" s="3884" t="str">
        <f>'Personalmenge 113c'!C21</f>
        <v/>
      </c>
      <c r="D14" s="3864"/>
      <c r="E14" s="3864" t="s">
        <v>2368</v>
      </c>
      <c r="F14" s="3864"/>
      <c r="G14" s="3873">
        <f>'Personalmenge 113c'!G21</f>
        <v>0</v>
      </c>
      <c r="I14" s="3836"/>
      <c r="J14" s="3836"/>
    </row>
    <row r="15" spans="1:10" s="3823" customFormat="1" ht="15" customHeight="1">
      <c r="A15" s="3867"/>
      <c r="B15" s="3864"/>
      <c r="C15" s="3874">
        <f>SUM(C11:C14)</f>
        <v>0</v>
      </c>
      <c r="D15" s="3864"/>
      <c r="E15" s="3864"/>
      <c r="F15" s="3864"/>
      <c r="G15" s="3875">
        <f>SUM(G11:G14)</f>
        <v>38.729999999999997</v>
      </c>
      <c r="I15" s="3836"/>
      <c r="J15" s="3836"/>
    </row>
    <row r="16" spans="1:10" s="3823" customFormat="1" ht="15" customHeight="1">
      <c r="A16" s="3867"/>
      <c r="B16" s="3864"/>
      <c r="C16" s="3876"/>
      <c r="D16" s="3864"/>
      <c r="E16" s="3864"/>
      <c r="F16" s="3864"/>
      <c r="G16" s="3865"/>
      <c r="I16" s="3836"/>
      <c r="J16" s="3836"/>
    </row>
    <row r="17" spans="1:10" s="3823" customFormat="1" ht="15" customHeight="1">
      <c r="A17" s="3862" t="s">
        <v>2369</v>
      </c>
      <c r="B17" s="3863"/>
      <c r="C17" s="3864"/>
      <c r="D17" s="3864"/>
      <c r="E17" s="3864"/>
      <c r="F17" s="3864"/>
      <c r="G17" s="4100">
        <f>'Personalmenge 113c'!G24</f>
        <v>-0.75</v>
      </c>
      <c r="I17" s="3836"/>
      <c r="J17" s="3836"/>
    </row>
    <row r="18" spans="1:10" s="3823" customFormat="1" ht="15" customHeight="1">
      <c r="A18" s="3877"/>
      <c r="B18" s="3878"/>
      <c r="C18" s="3878"/>
      <c r="D18" s="3878"/>
      <c r="E18" s="3878"/>
      <c r="F18" s="3878"/>
      <c r="G18" s="3879"/>
      <c r="I18" s="3836"/>
      <c r="J18" s="3836"/>
    </row>
    <row r="19" spans="1:10" s="3823" customFormat="1" ht="15" customHeight="1">
      <c r="A19" s="3864"/>
      <c r="B19" s="3864"/>
      <c r="C19" s="3864"/>
      <c r="D19" s="3864"/>
      <c r="E19" s="3864"/>
      <c r="F19" s="3864"/>
      <c r="G19" s="3864"/>
      <c r="H19" s="3845"/>
      <c r="I19" s="3836"/>
      <c r="J19" s="3836"/>
    </row>
    <row r="20" spans="1:10" s="3823" customFormat="1" ht="15" customHeight="1" outlineLevel="1">
      <c r="A20" s="3851" t="s">
        <v>2406</v>
      </c>
      <c r="B20" s="3852"/>
      <c r="C20" s="3853"/>
      <c r="D20" s="3853"/>
      <c r="E20" s="3853"/>
      <c r="F20" s="3853"/>
      <c r="G20" s="3854"/>
      <c r="H20" s="3845"/>
      <c r="I20" s="3836"/>
      <c r="J20" s="3836"/>
    </row>
    <row r="21" spans="1:10" s="3823" customFormat="1" ht="15" customHeight="1" outlineLevel="1">
      <c r="A21" s="3859"/>
      <c r="B21" s="3860"/>
      <c r="C21" s="3860"/>
      <c r="D21" s="3860"/>
      <c r="E21" s="3860"/>
      <c r="F21" s="3860"/>
      <c r="G21" s="3861"/>
      <c r="H21" s="3845"/>
      <c r="I21" s="3836"/>
      <c r="J21" s="3836"/>
    </row>
    <row r="22" spans="1:10" s="3823" customFormat="1" ht="15" customHeight="1" outlineLevel="1">
      <c r="A22" s="3924" t="e">
        <f>IF('Personalmenge 113c'!D80="Bestandsschutz","","Der Richtwert § 113c SGB XI liegt für den prospektiven Zeitraum über dem Bestandsschutz QN4.")</f>
        <v>#VALUE!</v>
      </c>
      <c r="B22" s="3864"/>
      <c r="C22" s="3864"/>
      <c r="D22" s="3864"/>
      <c r="E22" s="3864"/>
      <c r="F22" s="3864"/>
      <c r="G22" s="3865"/>
      <c r="H22" s="3845"/>
      <c r="I22" s="3836"/>
      <c r="J22" s="3836"/>
    </row>
    <row r="23" spans="1:10" s="3823" customFormat="1" ht="15" customHeight="1" outlineLevel="1">
      <c r="A23" s="3924" t="e">
        <f>IF('Personalmenge 113c'!D80="Bestandsschutz","","Die Berechnung zur Umsetzung der Übergangsregelung bis 31.12.2028 basiert damit auf dem")</f>
        <v>#VALUE!</v>
      </c>
      <c r="B23" s="3864"/>
      <c r="C23" s="3864"/>
      <c r="D23" s="3864"/>
      <c r="E23" s="3864"/>
      <c r="F23" s="3864"/>
      <c r="G23" s="3865"/>
      <c r="H23" s="3845"/>
      <c r="I23" s="3836"/>
      <c r="J23" s="3836"/>
    </row>
    <row r="24" spans="1:10" s="3823" customFormat="1" ht="15" customHeight="1" outlineLevel="1">
      <c r="A24" s="3924" t="e">
        <f>IF('Personalmenge 113c'!D80="Bestandsschutz","","Richtwert § 113c SGB XI in Höhe von")</f>
        <v>#VALUE!</v>
      </c>
      <c r="B24" s="3864"/>
      <c r="C24" s="3864"/>
      <c r="D24" s="3925" t="e">
        <f>IF('Personalmenge 113c'!D80="Bestandsschutz","",'Personalmenge 113c'!B80)</f>
        <v>#VALUE!</v>
      </c>
      <c r="E24" s="3864"/>
      <c r="F24" s="3864"/>
      <c r="G24" s="3865"/>
      <c r="H24" s="3845"/>
      <c r="I24" s="3836"/>
      <c r="J24" s="3836"/>
    </row>
    <row r="25" spans="1:10" s="3823" customFormat="1" ht="15" customHeight="1" outlineLevel="1">
      <c r="A25" s="3926"/>
      <c r="B25" s="3878"/>
      <c r="C25" s="3878"/>
      <c r="D25" s="3927"/>
      <c r="E25" s="3878"/>
      <c r="F25" s="3878"/>
      <c r="G25" s="3879"/>
      <c r="H25" s="3845"/>
      <c r="I25" s="3836"/>
      <c r="J25" s="3836"/>
    </row>
    <row r="26" spans="1:10" s="3823" customFormat="1" ht="15" customHeight="1" outlineLevel="1">
      <c r="A26" s="3864"/>
      <c r="B26" s="3864"/>
      <c r="C26" s="3864"/>
      <c r="D26" s="3864"/>
      <c r="E26" s="3864"/>
      <c r="F26" s="3864"/>
      <c r="G26" s="3864"/>
      <c r="H26" s="3845"/>
      <c r="I26" s="3836"/>
      <c r="J26" s="3836"/>
    </row>
    <row r="27" spans="1:10" s="3823" customFormat="1" ht="15" customHeight="1">
      <c r="A27" s="3864"/>
      <c r="B27" s="3864"/>
      <c r="C27" s="3864"/>
      <c r="D27" s="3864"/>
      <c r="E27" s="3864"/>
      <c r="F27" s="3864"/>
      <c r="G27" s="3864"/>
      <c r="H27" s="3845"/>
      <c r="I27" s="3836"/>
      <c r="J27" s="3836"/>
    </row>
    <row r="28" spans="1:10" s="3823" customFormat="1" ht="15" customHeight="1">
      <c r="A28" s="3928" t="e">
        <f>IF('Personalmenge 113c'!D80="Bestandsschutz","2) aktuelle Vergütungsvereinbarung gem. §§ 84, 85 und 87 SGB XI (§ 5 Personelle Ausstattung)","3) aktuelle Vergütungsvereinbarung gem. §§ 84, 85 und 87 SGB XI (§ 5 Personelle Ausstattung)")</f>
        <v>#VALUE!</v>
      </c>
      <c r="B28" s="3929"/>
      <c r="C28" s="3930"/>
      <c r="D28" s="3930"/>
      <c r="E28" s="3930"/>
      <c r="F28" s="3930"/>
      <c r="G28" s="3931"/>
      <c r="I28" s="3836"/>
      <c r="J28" s="3836"/>
    </row>
    <row r="29" spans="1:10" s="3823" customFormat="1" ht="15" customHeight="1">
      <c r="A29" s="3842"/>
      <c r="B29" s="3826"/>
      <c r="C29" s="3837"/>
      <c r="D29" s="3837"/>
      <c r="E29" s="3837"/>
      <c r="F29" s="3837"/>
      <c r="G29" s="3843"/>
      <c r="I29" s="3836"/>
      <c r="J29" s="3836"/>
    </row>
    <row r="30" spans="1:10" s="3823" customFormat="1" ht="15" customHeight="1">
      <c r="A30" s="3844" t="s">
        <v>2108</v>
      </c>
      <c r="B30" s="3845"/>
      <c r="C30" s="3845"/>
      <c r="D30" s="3845"/>
      <c r="E30" s="3837"/>
      <c r="F30" s="3845"/>
      <c r="G30" s="3920"/>
      <c r="I30" s="3836"/>
      <c r="J30" s="3836"/>
    </row>
    <row r="31" spans="1:10" s="3823" customFormat="1" ht="15" customHeight="1">
      <c r="A31" s="3932" t="s">
        <v>2381</v>
      </c>
      <c r="B31" s="3845"/>
      <c r="C31" s="3845"/>
      <c r="D31" s="3845"/>
      <c r="E31" s="3837"/>
      <c r="F31" s="3845"/>
      <c r="G31" s="3921"/>
      <c r="I31" s="3836"/>
      <c r="J31" s="3836"/>
    </row>
    <row r="32" spans="1:10" s="3823" customFormat="1" ht="15" customHeight="1">
      <c r="A32" s="3932"/>
      <c r="B32" s="3845"/>
      <c r="C32" s="3845"/>
      <c r="D32" s="3845"/>
      <c r="E32" s="3837"/>
      <c r="F32" s="3845"/>
      <c r="G32" s="3933">
        <f>SUM(G30:G31)</f>
        <v>0</v>
      </c>
      <c r="I32" s="3836"/>
      <c r="J32" s="3836"/>
    </row>
    <row r="33" spans="1:10" s="3823" customFormat="1" ht="15" customHeight="1">
      <c r="A33" s="3846"/>
      <c r="B33" s="3847"/>
      <c r="C33" s="3848"/>
      <c r="D33" s="3848"/>
      <c r="E33" s="3848"/>
      <c r="F33" s="3848"/>
      <c r="G33" s="3849"/>
      <c r="I33" s="3818"/>
      <c r="J33" s="3836"/>
    </row>
    <row r="34" spans="1:10" s="3823" customFormat="1" ht="15" customHeight="1">
      <c r="A34" s="3837"/>
      <c r="B34" s="3826"/>
      <c r="C34" s="3837"/>
      <c r="D34" s="3837"/>
      <c r="E34" s="3837"/>
      <c r="F34" s="3837"/>
      <c r="G34" s="3837"/>
      <c r="I34" s="3818"/>
      <c r="J34" s="3836"/>
    </row>
    <row r="35" spans="1:10" s="3823" customFormat="1" ht="15" customHeight="1" outlineLevel="1">
      <c r="A35" s="3837" t="e">
        <f>IF(AND('Personalmenge 113c'!D80="Bestandsschutz",G17=MAX(G17,G32)),"Der Bestandsschutz ist größer oder gleich der zuletzt vereinbarten Personalmenge QN4.",IF(AND('Personalmenge 113c'!D80="Richtwert § 113c SGB XI",D24=MAX(D24,G32)),"Der Richtwert § 113c SGB XI ist größer oder gleich der zuletzt vereinbarten Personalmenge QN4.",""))</f>
        <v>#VALUE!</v>
      </c>
      <c r="B35" s="3826"/>
      <c r="C35" s="3837"/>
      <c r="D35" s="3837"/>
      <c r="E35" s="3837"/>
      <c r="F35" s="3837"/>
      <c r="G35" s="3837"/>
      <c r="I35" s="3818"/>
      <c r="J35" s="3836"/>
    </row>
    <row r="36" spans="1:10" s="3823" customFormat="1" ht="15" customHeight="1" outlineLevel="1">
      <c r="A36" s="3837" t="e">
        <f>IF(A35="","","Die Übergangsregelung findet somit keine Anwendung.")</f>
        <v>#VALUE!</v>
      </c>
      <c r="B36" s="3826"/>
      <c r="C36" s="3837"/>
      <c r="D36" s="3837"/>
      <c r="E36" s="3837"/>
      <c r="F36" s="3837"/>
      <c r="G36" s="3837"/>
      <c r="I36" s="3818"/>
      <c r="J36" s="3836"/>
    </row>
    <row r="37" spans="1:10" s="3823" customFormat="1" ht="15" customHeight="1" outlineLevel="1">
      <c r="A37" s="3837"/>
      <c r="B37" s="3826"/>
      <c r="C37" s="3837"/>
      <c r="D37" s="3837"/>
      <c r="E37" s="3837"/>
      <c r="F37" s="3837"/>
      <c r="G37" s="3837"/>
      <c r="I37" s="3818"/>
      <c r="J37" s="3836"/>
    </row>
    <row r="38" spans="1:10" s="3823" customFormat="1" ht="15" customHeight="1">
      <c r="A38" s="3837"/>
      <c r="B38" s="3826"/>
      <c r="C38" s="3837"/>
      <c r="D38" s="3837"/>
      <c r="E38" s="3837"/>
      <c r="F38" s="3837"/>
      <c r="G38" s="3837"/>
      <c r="I38" s="3818"/>
      <c r="J38" s="3836"/>
    </row>
    <row r="39" spans="1:10" outlineLevel="1">
      <c r="A39" s="3934" t="e">
        <f>IF('Personalmenge 113c'!D80="Bestandsschutz","3) Umsetzung der Übergangsregelung bis 31.12.2028","4) Umsetzung der Übergangsregelung bis 31.12.2028")</f>
        <v>#VALUE!</v>
      </c>
      <c r="B39" s="3935"/>
      <c r="C39" s="3936"/>
      <c r="D39" s="3936"/>
      <c r="E39" s="3936"/>
      <c r="F39" s="3936"/>
      <c r="G39" s="3937"/>
      <c r="I39" s="3864"/>
      <c r="J39" s="3864"/>
    </row>
    <row r="40" spans="1:10" outlineLevel="1">
      <c r="A40" s="3938"/>
      <c r="B40" s="3939"/>
      <c r="C40" s="3940"/>
      <c r="D40" s="3940"/>
      <c r="E40" s="3940"/>
      <c r="F40" s="3940"/>
      <c r="G40" s="3941"/>
      <c r="I40" s="3864"/>
      <c r="J40" s="3864"/>
    </row>
    <row r="41" spans="1:10" outlineLevel="1">
      <c r="A41" s="3942" t="e">
        <f>IF('Personalmenge 113c'!B80&gt;G17,"Anzahl der vereinbarten Fachkräfte über dem Richtwert § 113c SGB XI für das QN4:",IF(G32&gt;G17,"Anzahl der vereinbarten Fachkräfte, die über den Bestandsschutz QN4 hinausgehen:",""))</f>
        <v>#VALUE!</v>
      </c>
      <c r="B41" s="3864"/>
      <c r="C41" s="3876"/>
      <c r="D41" s="3864"/>
      <c r="E41" s="3864"/>
      <c r="F41" s="3864"/>
      <c r="G41" s="3875" t="e">
        <f>IF(G32=MAX(G17,D24,G32),G32-MAX(G17,D24),0)</f>
        <v>#VALUE!</v>
      </c>
      <c r="I41" s="3864"/>
      <c r="J41" s="3864"/>
    </row>
    <row r="42" spans="1:10" outlineLevel="1">
      <c r="A42" s="3867"/>
      <c r="B42" s="3864"/>
      <c r="C42" s="3864"/>
      <c r="D42" s="3864"/>
      <c r="E42" s="3864"/>
      <c r="F42" s="3864"/>
      <c r="G42" s="3865"/>
    </row>
    <row r="43" spans="1:10" outlineLevel="1">
      <c r="A43" s="3862" t="s">
        <v>2382</v>
      </c>
      <c r="B43" s="3864"/>
      <c r="C43" s="3864"/>
      <c r="D43" s="3864"/>
      <c r="E43" s="3864"/>
      <c r="F43" s="3864"/>
      <c r="G43" s="3865"/>
    </row>
    <row r="44" spans="1:10" outlineLevel="1">
      <c r="A44" s="3867"/>
      <c r="B44" s="3864"/>
      <c r="C44" s="3864"/>
      <c r="D44" s="3864"/>
      <c r="E44" s="3864"/>
      <c r="F44" s="3864"/>
      <c r="G44" s="3865"/>
    </row>
    <row r="45" spans="1:10" outlineLevel="1">
      <c r="A45" s="3961" t="s">
        <v>2423</v>
      </c>
      <c r="B45" s="3864"/>
      <c r="C45" s="3864"/>
      <c r="D45" s="3864"/>
      <c r="E45" s="3864"/>
      <c r="F45" s="3864"/>
      <c r="G45" s="3873" t="e">
        <f>G41</f>
        <v>#VALUE!</v>
      </c>
    </row>
    <row r="46" spans="1:10" outlineLevel="1">
      <c r="A46" s="3961" t="s">
        <v>2424</v>
      </c>
      <c r="B46" s="3864"/>
      <c r="C46" s="3864"/>
      <c r="D46" s="3864"/>
      <c r="E46" s="3864"/>
      <c r="F46" s="3864"/>
      <c r="G46" s="3960"/>
    </row>
    <row r="47" spans="1:10" outlineLevel="1">
      <c r="A47" s="3963" t="e">
        <f>IF(G47&gt;'Personalmenge 113c'!G81,"Personalmenge QN3 &gt; Richtwert § 113c SGB XI! Angaben überprüfen!","")</f>
        <v>#VALUE!</v>
      </c>
      <c r="B47" s="3864"/>
      <c r="C47" s="3864"/>
      <c r="D47" s="3864"/>
      <c r="E47" s="3864"/>
      <c r="F47" s="3864"/>
      <c r="G47" s="3873" t="e">
        <f>SUM(G45:G46)</f>
        <v>#VALUE!</v>
      </c>
    </row>
    <row r="48" spans="1:10" outlineLevel="1">
      <c r="A48" s="3867"/>
      <c r="B48" s="3864"/>
      <c r="C48" s="3864"/>
      <c r="D48" s="3864"/>
      <c r="E48" s="3864"/>
      <c r="F48" s="3864"/>
      <c r="G48" s="3865"/>
    </row>
    <row r="49" spans="1:7" outlineLevel="1">
      <c r="A49" s="3862" t="s">
        <v>2383</v>
      </c>
      <c r="B49" s="3864"/>
      <c r="C49" s="3864"/>
      <c r="D49" s="3864"/>
      <c r="E49" s="3864"/>
      <c r="F49" s="3864"/>
      <c r="G49" s="3865"/>
    </row>
    <row r="50" spans="1:7" outlineLevel="1">
      <c r="A50" s="3867"/>
      <c r="B50" s="3864"/>
      <c r="C50" s="3864"/>
      <c r="D50" s="3864"/>
      <c r="E50" s="3864"/>
      <c r="F50" s="3864"/>
      <c r="G50" s="3865"/>
    </row>
    <row r="51" spans="1:7" outlineLevel="1">
      <c r="A51" s="3867" t="s">
        <v>2384</v>
      </c>
      <c r="B51" s="3864"/>
      <c r="C51" s="3864"/>
      <c r="D51" s="3943">
        <f>Ergebnis!F25</f>
        <v>0</v>
      </c>
      <c r="E51" s="3864"/>
      <c r="F51" s="3864"/>
      <c r="G51" s="3865"/>
    </row>
    <row r="52" spans="1:7" outlineLevel="1">
      <c r="A52" s="3867" t="s">
        <v>2385</v>
      </c>
      <c r="B52" s="3864"/>
      <c r="C52" s="3864"/>
      <c r="D52" s="3944">
        <f>Ergebnis!F26</f>
        <v>0</v>
      </c>
      <c r="E52" s="3864"/>
      <c r="F52" s="3864"/>
      <c r="G52" s="3865"/>
    </row>
    <row r="53" spans="1:7" outlineLevel="1">
      <c r="A53" s="3867"/>
      <c r="B53" s="3864"/>
      <c r="C53" s="3864"/>
      <c r="D53" s="3943">
        <f>D51-D52</f>
        <v>0</v>
      </c>
      <c r="E53" s="3864"/>
      <c r="F53" s="3864"/>
      <c r="G53" s="3865"/>
    </row>
    <row r="54" spans="1:7" outlineLevel="1">
      <c r="A54" s="3867"/>
      <c r="B54" s="3864"/>
      <c r="C54" s="3864"/>
      <c r="D54" s="3864"/>
      <c r="E54" s="3864"/>
      <c r="F54" s="3864"/>
      <c r="G54" s="3865"/>
    </row>
    <row r="55" spans="1:7" outlineLevel="1">
      <c r="A55" s="3942" t="s">
        <v>2386</v>
      </c>
      <c r="B55" s="3887"/>
      <c r="C55" s="3887"/>
      <c r="D55" s="3887"/>
      <c r="E55" s="3887"/>
      <c r="F55" s="3945" t="e">
        <f>D53*G41</f>
        <v>#VALUE!</v>
      </c>
      <c r="G55" s="3865"/>
    </row>
    <row r="56" spans="1:7" outlineLevel="1">
      <c r="A56" s="3877"/>
      <c r="B56" s="3878"/>
      <c r="C56" s="3878"/>
      <c r="D56" s="3878"/>
      <c r="E56" s="3878"/>
      <c r="F56" s="3878"/>
      <c r="G56" s="3879"/>
    </row>
  </sheetData>
  <conditionalFormatting sqref="A39:G45 A48:G56 B46:G47">
    <cfRule type="expression" dxfId="465" priority="4">
      <formula>$G$41=0</formula>
    </cfRule>
  </conditionalFormatting>
  <conditionalFormatting sqref="A46">
    <cfRule type="expression" dxfId="464" priority="2">
      <formula>$G$41=0</formula>
    </cfRule>
  </conditionalFormatting>
  <conditionalFormatting sqref="A47">
    <cfRule type="expression" dxfId="463" priority="1">
      <formula>$G$41=0</formula>
    </cfRule>
  </conditionalFormatting>
  <printOptions horizontalCentered="1"/>
  <pageMargins left="0.70866141732283472" right="0.70866141732283472" top="0.59055118110236227" bottom="0.59055118110236227" header="0.31496062992125984" footer="0.31496062992125984"/>
  <pageSetup paperSize="9" scale="91" orientation="portrait" horizontalDpi="300" verticalDpi="300" r:id="rId1"/>
  <headerFooter>
    <oddFooter>&amp;C&amp;F</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3" id="{5D444341-B563-4F86-9806-B0EB7A25A45F}">
            <xm:f>'Personalmenge 113c'!$D$80="Bestandsschutz"</xm:f>
            <x14:dxf>
              <font>
                <strike val="0"/>
                <color theme="0"/>
              </font>
              <fill>
                <patternFill>
                  <bgColor theme="0"/>
                </patternFill>
              </fill>
              <border>
                <left style="thin">
                  <color theme="0"/>
                </left>
                <right style="thin">
                  <color theme="0"/>
                </right>
                <top style="thin">
                  <color theme="0"/>
                </top>
                <bottom style="thin">
                  <color theme="0"/>
                </bottom>
                <vertical/>
                <horizontal/>
              </border>
            </x14:dxf>
          </x14:cfRule>
          <xm:sqref>A20:G25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AB218"/>
  <sheetViews>
    <sheetView showGridLines="0" zoomScaleNormal="100" workbookViewId="0">
      <selection activeCell="H1" sqref="H1:I1"/>
    </sheetView>
  </sheetViews>
  <sheetFormatPr baseColWidth="10" defaultColWidth="11.42578125" defaultRowHeight="12.75"/>
  <cols>
    <col min="1" max="1" width="3" style="406" customWidth="1"/>
    <col min="2" max="2" width="2.85546875" style="1624" customWidth="1"/>
    <col min="3" max="3" width="22.7109375" style="400" customWidth="1"/>
    <col min="4" max="6" width="11.28515625" style="400" customWidth="1"/>
    <col min="7" max="7" width="11.7109375" style="400" customWidth="1"/>
    <col min="8" max="8" width="11.28515625" style="400" customWidth="1"/>
    <col min="9" max="9" width="12" style="400" customWidth="1"/>
    <col min="10" max="10" width="5.7109375" style="1548" customWidth="1"/>
    <col min="11" max="12" width="11.42578125" style="400" customWidth="1"/>
    <col min="13" max="26" width="11.42578125" style="400"/>
    <col min="27" max="28" width="11.42578125" style="400" customWidth="1"/>
    <col min="29" max="16384" width="11.42578125" style="400"/>
  </cols>
  <sheetData>
    <row r="1" spans="1:28" ht="15" customHeight="1">
      <c r="A1" s="4271" t="s">
        <v>2142</v>
      </c>
      <c r="B1" s="4272"/>
      <c r="C1" s="4272"/>
      <c r="D1" s="1545"/>
      <c r="E1" s="1546"/>
      <c r="F1" s="1547"/>
      <c r="G1" s="1545"/>
      <c r="H1" s="4277">
        <v>45112</v>
      </c>
      <c r="I1" s="4278"/>
      <c r="K1" s="1549"/>
      <c r="AA1" s="1550">
        <v>40544</v>
      </c>
      <c r="AB1" s="1550">
        <v>40908</v>
      </c>
    </row>
    <row r="2" spans="1:28" ht="39">
      <c r="A2" s="1551"/>
      <c r="B2" s="1552"/>
      <c r="C2" s="1553" t="str">
        <f>"Gemeinsamer Nachweis gemäß § 85 Absatz 3 SGB XI für
stationäre Pflegeeinrichtungen in NRW - "&amp;(D36+2)</f>
        <v>Gemeinsamer Nachweis gemäß § 85 Absatz 3 SGB XI für
stationäre Pflegeeinrichtungen in NRW - 2025</v>
      </c>
      <c r="D2" s="1554"/>
      <c r="E2" s="1554"/>
      <c r="F2" s="1554"/>
      <c r="G2" s="1554"/>
      <c r="H2" s="1554"/>
      <c r="I2" s="1555"/>
      <c r="AA2" s="1550">
        <v>40575</v>
      </c>
      <c r="AB2" s="1550">
        <v>40939</v>
      </c>
    </row>
    <row r="3" spans="1:28" ht="7.5" customHeight="1">
      <c r="A3" s="1551"/>
      <c r="B3" s="1556"/>
      <c r="C3" s="401"/>
      <c r="D3" s="401"/>
      <c r="E3" s="401"/>
      <c r="F3" s="401"/>
      <c r="G3" s="401"/>
      <c r="H3" s="401"/>
      <c r="I3" s="1557"/>
      <c r="AA3" s="1550">
        <v>40603</v>
      </c>
      <c r="AB3" s="1550">
        <v>40968</v>
      </c>
    </row>
    <row r="4" spans="1:28">
      <c r="A4" s="1551"/>
      <c r="B4" s="1558"/>
      <c r="C4" s="4273" t="s">
        <v>11</v>
      </c>
      <c r="D4" s="4273"/>
      <c r="E4" s="1559"/>
      <c r="F4" s="1560" t="s">
        <v>12</v>
      </c>
      <c r="G4" s="1561"/>
      <c r="H4" s="1561"/>
      <c r="I4" s="1562"/>
      <c r="AA4" s="1550">
        <v>40634</v>
      </c>
      <c r="AB4" s="1550">
        <v>40999</v>
      </c>
    </row>
    <row r="5" spans="1:28" ht="30" customHeight="1">
      <c r="A5" s="1551">
        <v>1</v>
      </c>
      <c r="B5" s="1558"/>
      <c r="C5" s="4279" t="str">
        <f>IF('Copy &amp; Paste'!B5="","",'Copy &amp; Paste'!B5)</f>
        <v/>
      </c>
      <c r="D5" s="4279"/>
      <c r="E5" s="4280"/>
      <c r="F5" s="4281" t="str">
        <f>IF('Copy &amp; Paste'!E5="","",'Copy &amp; Paste'!E5)</f>
        <v/>
      </c>
      <c r="G5" s="4279"/>
      <c r="H5" s="4279"/>
      <c r="I5" s="4282"/>
      <c r="J5" s="1563"/>
      <c r="AA5" s="1550">
        <v>40664</v>
      </c>
      <c r="AB5" s="1550">
        <v>41029</v>
      </c>
    </row>
    <row r="6" spans="1:28" ht="30" customHeight="1">
      <c r="A6" s="1551">
        <v>2</v>
      </c>
      <c r="B6" s="1564"/>
      <c r="C6" s="1565" t="str">
        <f>IF('Copy &amp; Paste'!B6="","",'Copy &amp; Paste'!B6)</f>
        <v/>
      </c>
      <c r="D6" s="1565"/>
      <c r="E6" s="1566"/>
      <c r="F6" s="1565" t="str">
        <f>IF('Copy &amp; Paste'!E6="","",'Copy &amp; Paste'!E6)</f>
        <v/>
      </c>
      <c r="G6" s="1565"/>
      <c r="H6" s="1567"/>
      <c r="I6" s="1568"/>
      <c r="J6" s="1569"/>
      <c r="AA6" s="1550">
        <v>40695</v>
      </c>
      <c r="AB6" s="1550">
        <v>41060</v>
      </c>
    </row>
    <row r="7" spans="1:28" ht="30" customHeight="1">
      <c r="A7" s="1551">
        <v>3</v>
      </c>
      <c r="B7" s="1564"/>
      <c r="C7" s="1565" t="str">
        <f>IF('Copy &amp; Paste'!B7="","",'Copy &amp; Paste'!B7)</f>
        <v/>
      </c>
      <c r="D7" s="1565"/>
      <c r="E7" s="1566"/>
      <c r="F7" s="1565" t="str">
        <f>IF('Copy &amp; Paste'!E7="","",'Copy &amp; Paste'!E7)</f>
        <v/>
      </c>
      <c r="G7" s="1565"/>
      <c r="H7" s="1567"/>
      <c r="I7" s="1568"/>
      <c r="J7" s="1563"/>
      <c r="AA7" s="1550">
        <v>40725</v>
      </c>
      <c r="AB7" s="1550">
        <v>41090</v>
      </c>
    </row>
    <row r="8" spans="1:28" ht="30" customHeight="1">
      <c r="A8" s="1551">
        <v>4</v>
      </c>
      <c r="B8" s="1558"/>
      <c r="C8" s="1570" t="str">
        <f>IF('Copy &amp; Paste'!B8="","",'Copy &amp; Paste'!B8)</f>
        <v/>
      </c>
      <c r="D8" s="4274" t="str">
        <f>IF('Copy &amp; Paste'!C8="","",'Copy &amp; Paste'!C8)</f>
        <v/>
      </c>
      <c r="E8" s="4275"/>
      <c r="F8" s="1570" t="str">
        <f>IF('Copy &amp; Paste'!E8="","",'Copy &amp; Paste'!E8)</f>
        <v/>
      </c>
      <c r="G8" s="1565" t="str">
        <f>IF('Copy &amp; Paste'!F8="","",'Copy &amp; Paste'!F8)</f>
        <v/>
      </c>
      <c r="H8" s="1565"/>
      <c r="I8" s="1571"/>
      <c r="AA8" s="1550">
        <v>40756</v>
      </c>
      <c r="AB8" s="1550">
        <v>41121</v>
      </c>
    </row>
    <row r="9" spans="1:28" ht="6" customHeight="1">
      <c r="A9" s="1551"/>
      <c r="B9" s="1556"/>
      <c r="C9" s="401"/>
      <c r="D9" s="401"/>
      <c r="E9" s="401"/>
      <c r="F9" s="401"/>
      <c r="G9" s="401"/>
      <c r="H9" s="401"/>
      <c r="I9" s="1557"/>
      <c r="AA9" s="1550">
        <v>40787</v>
      </c>
      <c r="AB9" s="1550">
        <v>41152</v>
      </c>
    </row>
    <row r="10" spans="1:28" ht="18" customHeight="1">
      <c r="A10" s="1551">
        <v>5</v>
      </c>
      <c r="B10" s="1572"/>
      <c r="C10" s="1573"/>
      <c r="D10" s="1574"/>
      <c r="E10" s="1575" t="s">
        <v>13</v>
      </c>
      <c r="F10" s="1574"/>
      <c r="G10" s="726"/>
      <c r="H10" s="4304" t="str">
        <f>IF('Copy &amp; Paste'!G10="","",'Copy &amp; Paste'!G10)</f>
        <v/>
      </c>
      <c r="I10" s="4305"/>
      <c r="K10" s="4276"/>
      <c r="L10" s="4276"/>
      <c r="AA10" s="1550">
        <v>40817</v>
      </c>
      <c r="AB10" s="1550">
        <v>41182</v>
      </c>
    </row>
    <row r="11" spans="1:28" ht="18" customHeight="1">
      <c r="A11" s="1551">
        <v>6</v>
      </c>
      <c r="B11" s="1576" t="str">
        <f>IF('Copy &amp; Paste'!B10="","",'Copy &amp; Paste'!B10)</f>
        <v>x</v>
      </c>
      <c r="C11" s="1573" t="s">
        <v>881</v>
      </c>
      <c r="D11" s="1574"/>
      <c r="E11" s="1575" t="s">
        <v>14</v>
      </c>
      <c r="F11" s="1574"/>
      <c r="G11" s="1573"/>
      <c r="H11" s="1573"/>
      <c r="I11" s="1577" t="str">
        <f>IF('Copy &amp; Paste'!H11="","",'Copy &amp; Paste'!H11)</f>
        <v/>
      </c>
      <c r="K11" s="4276"/>
      <c r="L11" s="4276"/>
      <c r="AA11" s="1550">
        <v>40848</v>
      </c>
      <c r="AB11" s="1550">
        <v>41213</v>
      </c>
    </row>
    <row r="12" spans="1:28" ht="18" customHeight="1">
      <c r="A12" s="1551"/>
      <c r="B12" s="3068" t="str">
        <f>IF('Copy &amp; Paste'!B11="","",'Copy &amp; Paste'!B11)</f>
        <v>nein</v>
      </c>
      <c r="C12" s="1573" t="str">
        <f>'Copy &amp; Paste'!C11</f>
        <v>Vergütungszuschlag nach § 84 Abs. 9?</v>
      </c>
      <c r="D12" s="1574"/>
      <c r="E12" s="1579" t="s">
        <v>1320</v>
      </c>
      <c r="F12" s="1574"/>
      <c r="G12" s="1573"/>
      <c r="H12" s="1573"/>
      <c r="I12" s="1580" t="str">
        <f>IF('Copy &amp; Paste'!H12="","",'Copy &amp; Paste'!H12)</f>
        <v/>
      </c>
      <c r="K12" s="1581"/>
      <c r="L12" s="1582"/>
      <c r="AA12" s="1550">
        <v>40878</v>
      </c>
      <c r="AB12" s="1550">
        <v>41243</v>
      </c>
    </row>
    <row r="13" spans="1:28" ht="18" customHeight="1">
      <c r="A13" s="1551"/>
      <c r="B13" s="1576"/>
      <c r="C13" s="1578"/>
      <c r="D13" s="401"/>
      <c r="E13" s="1575" t="s">
        <v>1321</v>
      </c>
      <c r="F13" s="1574"/>
      <c r="G13" s="1573"/>
      <c r="H13" s="1583"/>
      <c r="I13" s="1584" t="str">
        <f>IF('Copy &amp; Paste'!I12="","",'Copy &amp; Paste'!I12)</f>
        <v/>
      </c>
      <c r="K13" s="1585"/>
      <c r="L13" s="1582"/>
      <c r="AA13" s="1550">
        <v>40909</v>
      </c>
      <c r="AB13" s="1550">
        <v>41274</v>
      </c>
    </row>
    <row r="14" spans="1:28" ht="18" customHeight="1">
      <c r="A14" s="1551"/>
      <c r="B14" s="1586" t="str">
        <f>IF('Copy &amp; Paste'!B13="ja","x","")</f>
        <v/>
      </c>
      <c r="C14" s="1080" t="s">
        <v>914</v>
      </c>
      <c r="D14" s="401"/>
      <c r="E14" s="1587" t="s">
        <v>15</v>
      </c>
      <c r="F14" s="401"/>
      <c r="G14" s="401"/>
      <c r="H14" s="4309" t="str">
        <f>IF('Copy &amp; Paste'!G13="","",'Copy &amp; Paste'!G13)</f>
        <v/>
      </c>
      <c r="I14" s="4310"/>
      <c r="K14" s="1585"/>
      <c r="L14" s="1588"/>
      <c r="AA14" s="1550">
        <v>40940</v>
      </c>
      <c r="AB14" s="1550">
        <v>41305</v>
      </c>
    </row>
    <row r="15" spans="1:28" ht="18" customHeight="1">
      <c r="A15" s="1551"/>
      <c r="B15" s="1589" t="str">
        <f>IF('Copy &amp; Paste'!B14="ja","x","")</f>
        <v/>
      </c>
      <c r="C15" s="1590" t="s">
        <v>16</v>
      </c>
      <c r="D15" s="401"/>
      <c r="E15" s="4306" t="s">
        <v>831</v>
      </c>
      <c r="F15" s="4306"/>
      <c r="G15" s="1591" t="str">
        <f>IF('Copy &amp; Paste'!H14="","",'Copy &amp; Paste'!H14)</f>
        <v/>
      </c>
      <c r="H15" s="1592"/>
      <c r="I15" s="1593"/>
      <c r="K15" s="1585"/>
      <c r="L15" s="1582"/>
      <c r="AA15" s="1550">
        <v>40969</v>
      </c>
      <c r="AB15" s="1550">
        <v>41333</v>
      </c>
    </row>
    <row r="16" spans="1:28" ht="26.25" customHeight="1">
      <c r="A16" s="1551"/>
      <c r="B16" s="1556"/>
      <c r="C16" s="1594" t="s">
        <v>17</v>
      </c>
      <c r="D16" s="401"/>
      <c r="E16" s="401"/>
      <c r="F16" s="401"/>
      <c r="G16" s="401"/>
      <c r="H16" s="401"/>
      <c r="I16" s="1557"/>
      <c r="AA16" s="1550">
        <v>41000</v>
      </c>
      <c r="AB16" s="1550">
        <v>41364</v>
      </c>
    </row>
    <row r="17" spans="1:28" ht="22.5" customHeight="1" thickBot="1">
      <c r="A17" s="1551"/>
      <c r="B17" s="1556"/>
      <c r="C17" s="1594"/>
      <c r="D17" s="401"/>
      <c r="E17" s="401"/>
      <c r="F17" s="401"/>
      <c r="G17" s="401"/>
      <c r="H17" s="2608"/>
      <c r="I17" s="2609"/>
      <c r="AA17" s="1550">
        <v>41030</v>
      </c>
      <c r="AB17" s="1550">
        <v>41394</v>
      </c>
    </row>
    <row r="18" spans="1:28" ht="15.75" customHeight="1" thickBot="1">
      <c r="A18" s="1551"/>
      <c r="B18" s="1556"/>
      <c r="C18" s="2600"/>
      <c r="D18" s="4209" t="s">
        <v>18</v>
      </c>
      <c r="E18" s="4210"/>
      <c r="F18" s="4210"/>
      <c r="G18" s="4211"/>
      <c r="H18" s="4313" t="s">
        <v>1540</v>
      </c>
      <c r="I18" s="4314"/>
      <c r="AA18" s="1550">
        <v>41061</v>
      </c>
      <c r="AB18" s="1550">
        <v>41425</v>
      </c>
    </row>
    <row r="19" spans="1:28" ht="13.5" thickBot="1">
      <c r="A19" s="1551"/>
      <c r="B19" s="1556"/>
      <c r="C19" s="1651"/>
      <c r="D19" s="2613" t="s">
        <v>122</v>
      </c>
      <c r="E19" s="2623" t="s">
        <v>123</v>
      </c>
      <c r="F19" s="2613" t="s">
        <v>123</v>
      </c>
      <c r="G19" s="2614" t="s">
        <v>123</v>
      </c>
      <c r="H19" s="4315"/>
      <c r="I19" s="4316"/>
      <c r="AA19" s="1550">
        <v>41091</v>
      </c>
      <c r="AB19" s="1550">
        <v>41455</v>
      </c>
    </row>
    <row r="20" spans="1:28">
      <c r="A20" s="1551"/>
      <c r="B20" s="1556"/>
      <c r="C20" s="1651"/>
      <c r="D20" s="2615" t="s">
        <v>19</v>
      </c>
      <c r="E20" s="2624" t="s">
        <v>19</v>
      </c>
      <c r="F20" s="2615" t="s">
        <v>19</v>
      </c>
      <c r="G20" s="2601" t="s">
        <v>19</v>
      </c>
      <c r="H20" s="4311" t="s">
        <v>981</v>
      </c>
      <c r="I20" s="4312"/>
      <c r="AA20" s="1550">
        <v>41122</v>
      </c>
      <c r="AB20" s="1550">
        <v>41486</v>
      </c>
    </row>
    <row r="21" spans="1:28" ht="21" customHeight="1">
      <c r="A21" s="1551"/>
      <c r="B21" s="1556"/>
      <c r="C21" s="2319" t="s">
        <v>754</v>
      </c>
      <c r="D21" s="2616" t="str">
        <f>IF('Copy &amp; Paste'!C21="","",'Copy &amp; Paste'!C21)</f>
        <v/>
      </c>
      <c r="E21" s="2602" t="str">
        <f>IF('Copy &amp; Paste'!D21="","",'Copy &amp; Paste'!D21)</f>
        <v/>
      </c>
      <c r="F21" s="2616" t="str">
        <f>IF('Copy &amp; Paste'!E21="","",'Copy &amp; Paste'!E21)</f>
        <v/>
      </c>
      <c r="G21" s="2602" t="str">
        <f>IF('Copy &amp; Paste'!F21="","",'Copy &amp; Paste'!F21)</f>
        <v/>
      </c>
      <c r="H21" s="2610" t="s">
        <v>20</v>
      </c>
      <c r="I21" s="2611" t="s">
        <v>21</v>
      </c>
      <c r="AA21" s="1550">
        <v>41153</v>
      </c>
      <c r="AB21" s="1550">
        <v>41517</v>
      </c>
    </row>
    <row r="22" spans="1:28" ht="21" customHeight="1" thickBot="1">
      <c r="A22" s="1551">
        <v>7</v>
      </c>
      <c r="B22" s="1556"/>
      <c r="C22" s="2328" t="s">
        <v>755</v>
      </c>
      <c r="D22" s="2634" t="str">
        <f>IF('Copy &amp; Paste'!C22="","",'Copy &amp; Paste'!C22)</f>
        <v/>
      </c>
      <c r="E22" s="2635" t="str">
        <f>IF('Copy &amp; Paste'!D22="","",'Copy &amp; Paste'!D22)</f>
        <v/>
      </c>
      <c r="F22" s="2636" t="str">
        <f>IF('Copy &amp; Paste'!E22="","",'Copy &amp; Paste'!E22)</f>
        <v/>
      </c>
      <c r="G22" s="2635" t="str">
        <f>IF('Copy &amp; Paste'!F22="","",'Copy &amp; Paste'!F22)</f>
        <v/>
      </c>
      <c r="H22" s="2637">
        <f>'Copy &amp; Paste'!G21</f>
        <v>45717</v>
      </c>
      <c r="I22" s="2638">
        <f>'Copy &amp; Paste'!G22</f>
        <v>46081</v>
      </c>
      <c r="J22" s="1596"/>
      <c r="M22" s="1550"/>
      <c r="N22" s="1597"/>
      <c r="P22" s="1550"/>
      <c r="AA22" s="1550">
        <v>41183</v>
      </c>
      <c r="AB22" s="1550">
        <v>41547</v>
      </c>
    </row>
    <row r="23" spans="1:28" s="406" customFormat="1" ht="25.5" customHeight="1">
      <c r="A23" s="1551">
        <v>8</v>
      </c>
      <c r="B23" s="1598"/>
      <c r="C23" s="2633" t="str">
        <f>'Copy &amp; Paste'!B23</f>
        <v>Pflegegrad 1</v>
      </c>
      <c r="D23" s="2627" t="str">
        <f>IF('Copy &amp; Paste'!C23="","",'Copy &amp; Paste'!C23)</f>
        <v/>
      </c>
      <c r="E23" s="2607" t="str">
        <f>IF('Copy &amp; Paste'!D23="","",'Copy &amp; Paste'!D23)</f>
        <v/>
      </c>
      <c r="F23" s="2619" t="str">
        <f>IF('Copy &amp; Paste'!E23="","",'Copy &amp; Paste'!E23)</f>
        <v/>
      </c>
      <c r="G23" s="2607" t="str">
        <f>IF('Copy &amp; Paste'!F23="","",'Copy &amp; Paste'!F23)</f>
        <v/>
      </c>
      <c r="H23" s="2612"/>
      <c r="I23" s="2598" t="e">
        <f>IF('Copy &amp; Paste'!G23="","",'Copy &amp; Paste'!G23)</f>
        <v>#VALUE!</v>
      </c>
      <c r="J23" s="1600"/>
      <c r="K23" s="1601"/>
      <c r="O23" s="1602"/>
      <c r="P23" s="1603"/>
      <c r="AA23" s="1550">
        <v>41214</v>
      </c>
      <c r="AB23" s="1550">
        <v>41578</v>
      </c>
    </row>
    <row r="24" spans="1:28" s="406" customFormat="1" ht="25.5" customHeight="1">
      <c r="A24" s="1551">
        <v>9</v>
      </c>
      <c r="B24" s="1598"/>
      <c r="C24" s="2603" t="str">
        <f>'Copy &amp; Paste'!B24</f>
        <v>Pflegegrad 2</v>
      </c>
      <c r="D24" s="2625" t="str">
        <f>IF('Copy &amp; Paste'!C24="","",'Copy &amp; Paste'!C24)</f>
        <v/>
      </c>
      <c r="E24" s="2604" t="str">
        <f>IF('Copy &amp; Paste'!D24="","",'Copy &amp; Paste'!D24)</f>
        <v/>
      </c>
      <c r="F24" s="2617" t="str">
        <f>IF('Copy &amp; Paste'!E24="","",'Copy &amp; Paste'!E24)</f>
        <v/>
      </c>
      <c r="G24" s="2604" t="str">
        <f>IF('Copy &amp; Paste'!F24="","",'Copy &amp; Paste'!F24)</f>
        <v/>
      </c>
      <c r="H24" s="2612"/>
      <c r="I24" s="1599" t="e">
        <f>IF('Copy &amp; Paste'!G24="","",'Copy &amp; Paste'!G24)</f>
        <v>#VALUE!</v>
      </c>
      <c r="J24" s="1596"/>
      <c r="AA24" s="1550">
        <v>41244</v>
      </c>
      <c r="AB24" s="1550">
        <v>41608</v>
      </c>
    </row>
    <row r="25" spans="1:28" s="406" customFormat="1" ht="25.5" customHeight="1">
      <c r="A25" s="1551">
        <v>10</v>
      </c>
      <c r="B25" s="1598"/>
      <c r="C25" s="2603" t="str">
        <f>'Copy &amp; Paste'!B25</f>
        <v>Pflegegrad 3</v>
      </c>
      <c r="D25" s="2625" t="str">
        <f>IF('Copy &amp; Paste'!C25="","",'Copy &amp; Paste'!C25)</f>
        <v/>
      </c>
      <c r="E25" s="2604" t="str">
        <f>IF('Copy &amp; Paste'!D25="","",'Copy &amp; Paste'!D25)</f>
        <v/>
      </c>
      <c r="F25" s="2617" t="str">
        <f>IF('Copy &amp; Paste'!E25="","",'Copy &amp; Paste'!E25)</f>
        <v/>
      </c>
      <c r="G25" s="2604" t="str">
        <f>IF('Copy &amp; Paste'!F25="","",'Copy &amp; Paste'!F25)</f>
        <v/>
      </c>
      <c r="H25" s="2612"/>
      <c r="I25" s="1599" t="e">
        <f>IF('Copy &amp; Paste'!G25="","",'Copy &amp; Paste'!G25)</f>
        <v>#VALUE!</v>
      </c>
      <c r="J25" s="1596"/>
      <c r="AA25" s="1550">
        <v>41275</v>
      </c>
      <c r="AB25" s="1550">
        <v>41639</v>
      </c>
    </row>
    <row r="26" spans="1:28" s="406" customFormat="1" ht="25.5" customHeight="1">
      <c r="A26" s="1551">
        <v>11</v>
      </c>
      <c r="B26" s="1598"/>
      <c r="C26" s="2603" t="str">
        <f>'Copy &amp; Paste'!B26</f>
        <v>Pflegegrad 4</v>
      </c>
      <c r="D26" s="2625" t="str">
        <f>IF('Copy &amp; Paste'!C26="","",'Copy &amp; Paste'!C26)</f>
        <v/>
      </c>
      <c r="E26" s="2604" t="str">
        <f>IF('Copy &amp; Paste'!D26="","",'Copy &amp; Paste'!D26)</f>
        <v/>
      </c>
      <c r="F26" s="2617" t="str">
        <f>IF('Copy &amp; Paste'!E26="","",'Copy &amp; Paste'!E26)</f>
        <v/>
      </c>
      <c r="G26" s="2604" t="str">
        <f>IF('Copy &amp; Paste'!F26="","",'Copy &amp; Paste'!F26)</f>
        <v/>
      </c>
      <c r="H26" s="2612"/>
      <c r="I26" s="1599" t="e">
        <f>IF('Copy &amp; Paste'!G26="","",'Copy &amp; Paste'!G26)</f>
        <v>#VALUE!</v>
      </c>
      <c r="J26" s="1600"/>
      <c r="AA26" s="1550">
        <v>41306</v>
      </c>
      <c r="AB26" s="1550">
        <v>41670</v>
      </c>
    </row>
    <row r="27" spans="1:28" s="406" customFormat="1" ht="25.5" customHeight="1" thickBot="1">
      <c r="A27" s="1551">
        <v>12</v>
      </c>
      <c r="B27" s="1598"/>
      <c r="C27" s="2605" t="str">
        <f>'Copy &amp; Paste'!B27</f>
        <v>Pflegegrad 5</v>
      </c>
      <c r="D27" s="2626" t="str">
        <f>IF('Copy &amp; Paste'!C27="","",'Copy &amp; Paste'!C27)</f>
        <v/>
      </c>
      <c r="E27" s="2606" t="str">
        <f>IF('Copy &amp; Paste'!D27="","",'Copy &amp; Paste'!D27)</f>
        <v/>
      </c>
      <c r="F27" s="2618" t="str">
        <f>IF('Copy &amp; Paste'!E27="","",'Copy &amp; Paste'!E27)</f>
        <v/>
      </c>
      <c r="G27" s="2606" t="str">
        <f>IF('Copy &amp; Paste'!F27="","",'Copy &amp; Paste'!F27)</f>
        <v/>
      </c>
      <c r="H27" s="2612"/>
      <c r="I27" s="2599" t="e">
        <f>IF('Copy &amp; Paste'!G27="","",'Copy &amp; Paste'!G27)</f>
        <v>#VALUE!</v>
      </c>
      <c r="J27" s="1596"/>
      <c r="AA27" s="1550">
        <v>41334</v>
      </c>
      <c r="AB27" s="1550">
        <v>41698</v>
      </c>
    </row>
    <row r="28" spans="1:28" s="406" customFormat="1" ht="25.5" customHeight="1">
      <c r="A28" s="1551">
        <v>13</v>
      </c>
      <c r="B28" s="1598"/>
      <c r="C28" s="2335" t="s">
        <v>976</v>
      </c>
      <c r="D28" s="2627" t="str">
        <f>IF('Copy &amp; Paste'!C28="","",'Copy &amp; Paste'!C28)</f>
        <v/>
      </c>
      <c r="E28" s="2607" t="str">
        <f>IF('Copy &amp; Paste'!D28="","",'Copy &amp; Paste'!D28)</f>
        <v/>
      </c>
      <c r="F28" s="2619" t="str">
        <f>IF('Copy &amp; Paste'!E28="","",'Copy &amp; Paste'!E28)</f>
        <v/>
      </c>
      <c r="G28" s="2607" t="str">
        <f>IF('Copy &amp; Paste'!F28="","",'Copy &amp; Paste'!F28)</f>
        <v/>
      </c>
      <c r="H28" s="1604"/>
      <c r="I28" s="2598" t="e">
        <f>IF('Copy &amp; Paste'!G28="","",'Copy &amp; Paste'!G28)</f>
        <v>#VALUE!</v>
      </c>
      <c r="J28" s="1596"/>
      <c r="AA28" s="1550">
        <v>41365</v>
      </c>
      <c r="AB28" s="1550">
        <v>41729</v>
      </c>
    </row>
    <row r="29" spans="1:28" s="406" customFormat="1" ht="25.5" customHeight="1">
      <c r="A29" s="1551" t="s">
        <v>1541</v>
      </c>
      <c r="B29" s="1598"/>
      <c r="C29" s="2335" t="s">
        <v>1544</v>
      </c>
      <c r="D29" s="2627" t="str">
        <f>IF('Copy &amp; Paste'!C29="","",'Copy &amp; Paste'!C29)</f>
        <v/>
      </c>
      <c r="E29" s="2607" t="str">
        <f>IF('Copy &amp; Paste'!D29="","",'Copy &amp; Paste'!D29)</f>
        <v/>
      </c>
      <c r="F29" s="2619" t="str">
        <f>IF('Copy &amp; Paste'!E29="","",'Copy &amp; Paste'!E29)</f>
        <v/>
      </c>
      <c r="G29" s="2607" t="str">
        <f>IF('Copy &amp; Paste'!F29="","",'Copy &amp; Paste'!F29)</f>
        <v/>
      </c>
      <c r="H29" s="1604"/>
      <c r="I29" s="2598" t="e">
        <f>IF('Copy &amp; Paste'!G29="","",'Copy &amp; Paste'!G29)</f>
        <v>#VALUE!</v>
      </c>
      <c r="J29" s="1596"/>
      <c r="AA29" s="1550"/>
      <c r="AB29" s="1550"/>
    </row>
    <row r="30" spans="1:28" s="406" customFormat="1" ht="25.5" customHeight="1">
      <c r="A30" s="1551" t="s">
        <v>1542</v>
      </c>
      <c r="B30" s="1598"/>
      <c r="C30" s="2335" t="s">
        <v>1545</v>
      </c>
      <c r="D30" s="2627" t="str">
        <f>IF('Copy &amp; Paste'!C30="","",'Copy &amp; Paste'!C30)</f>
        <v/>
      </c>
      <c r="E30" s="2607" t="str">
        <f>IF('Copy &amp; Paste'!D30="","",'Copy &amp; Paste'!D30)</f>
        <v/>
      </c>
      <c r="F30" s="2619" t="str">
        <f>IF('Copy &amp; Paste'!E30="","",'Copy &amp; Paste'!E30)</f>
        <v/>
      </c>
      <c r="G30" s="2607" t="str">
        <f>IF('Copy &amp; Paste'!F30="","",'Copy &amp; Paste'!F30)</f>
        <v/>
      </c>
      <c r="H30" s="1604"/>
      <c r="I30" s="2598" t="e">
        <f>IF('Copy &amp; Paste'!G30="","",'Copy &amp; Paste'!G30)</f>
        <v>#VALUE!</v>
      </c>
      <c r="J30" s="1596"/>
      <c r="AA30" s="1550"/>
      <c r="AB30" s="1550"/>
    </row>
    <row r="31" spans="1:28" s="406" customFormat="1" ht="25.5" customHeight="1" thickBot="1">
      <c r="A31" s="1551">
        <v>14</v>
      </c>
      <c r="B31" s="1598"/>
      <c r="C31" s="2349" t="s">
        <v>1546</v>
      </c>
      <c r="D31" s="2626" t="str">
        <f>IF('Copy &amp; Paste'!C31="","",'Copy &amp; Paste'!C31)</f>
        <v/>
      </c>
      <c r="E31" s="2606" t="str">
        <f>IF('Copy &amp; Paste'!D31="","",'Copy &amp; Paste'!D31)</f>
        <v/>
      </c>
      <c r="F31" s="2618" t="str">
        <f>IF('Copy &amp; Paste'!E31="","",'Copy &amp; Paste'!E31)</f>
        <v/>
      </c>
      <c r="G31" s="2606" t="str">
        <f>IF('Copy &amp; Paste'!F31="","",'Copy &amp; Paste'!F31)</f>
        <v/>
      </c>
      <c r="H31" s="1604"/>
      <c r="I31" s="2599" t="e">
        <f>IF('Copy &amp; Paste'!G31="","",'Copy &amp; Paste'!G31)</f>
        <v>#VALUE!</v>
      </c>
      <c r="J31" s="1600"/>
      <c r="AA31" s="1550">
        <v>41395</v>
      </c>
      <c r="AB31" s="1550">
        <v>41759</v>
      </c>
    </row>
    <row r="32" spans="1:28" s="406" customFormat="1" ht="26.25" thickBot="1">
      <c r="A32" s="1551">
        <v>15</v>
      </c>
      <c r="B32" s="1598"/>
      <c r="C32" s="2639" t="s">
        <v>349</v>
      </c>
      <c r="D32" s="2640" t="str">
        <f>IF('Copy &amp; Paste'!C32="","",'Copy &amp; Paste'!C32)</f>
        <v/>
      </c>
      <c r="E32" s="2641" t="str">
        <f>IF('Copy &amp; Paste'!D32="","",'Copy &amp; Paste'!D32)</f>
        <v/>
      </c>
      <c r="F32" s="2642">
        <f>IF('Copy &amp; Paste'!E32="","",'Copy &amp; Paste'!E32)</f>
        <v>0</v>
      </c>
      <c r="G32" s="2641">
        <f>IF('Copy &amp; Paste'!F32="","",'Copy &amp; Paste'!F32)</f>
        <v>0</v>
      </c>
      <c r="H32" s="2631"/>
      <c r="I32" s="2643">
        <f>IF('Copy &amp; Paste'!G32="","",'Copy &amp; Paste'!G32)</f>
        <v>0</v>
      </c>
      <c r="J32" s="1596"/>
      <c r="AA32" s="1550">
        <v>41426</v>
      </c>
      <c r="AB32" s="1550">
        <v>41790</v>
      </c>
    </row>
    <row r="33" spans="1:28" ht="25.5" customHeight="1" thickBot="1">
      <c r="A33" s="1551"/>
      <c r="B33" s="1556"/>
      <c r="C33" s="2620"/>
      <c r="D33" s="2621"/>
      <c r="E33" s="2622"/>
      <c r="F33" s="2632" t="s">
        <v>1543</v>
      </c>
      <c r="G33" s="2628">
        <f>'Copy &amp; Paste'!F33</f>
        <v>0</v>
      </c>
      <c r="H33" s="2629" t="s">
        <v>1219</v>
      </c>
      <c r="I33" s="2630" t="e">
        <f>'Copy &amp; Paste'!G33</f>
        <v>#VALUE!</v>
      </c>
      <c r="J33" s="1596"/>
      <c r="AA33" s="1550">
        <v>41456</v>
      </c>
      <c r="AB33" s="1550">
        <v>41820</v>
      </c>
    </row>
    <row r="34" spans="1:28" ht="21">
      <c r="A34" s="1551"/>
      <c r="B34" s="1556"/>
      <c r="C34" s="1594" t="s">
        <v>24</v>
      </c>
      <c r="D34" s="401" t="s">
        <v>25</v>
      </c>
      <c r="E34" s="401"/>
      <c r="F34" s="401"/>
      <c r="G34" s="401"/>
      <c r="H34" s="401"/>
      <c r="I34" s="1557"/>
      <c r="J34" s="1600"/>
      <c r="AA34" s="1550">
        <v>41487</v>
      </c>
      <c r="AB34" s="1550">
        <v>41851</v>
      </c>
    </row>
    <row r="35" spans="1:28" ht="9" customHeight="1" thickBot="1">
      <c r="A35" s="1551"/>
      <c r="B35" s="1556"/>
      <c r="C35" s="401"/>
      <c r="D35" s="401"/>
      <c r="E35" s="401"/>
      <c r="F35" s="401"/>
      <c r="G35" s="401"/>
      <c r="H35" s="401"/>
      <c r="I35" s="1557"/>
      <c r="J35" s="1596"/>
      <c r="AA35" s="1550">
        <v>41518</v>
      </c>
      <c r="AB35" s="1550">
        <v>41882</v>
      </c>
    </row>
    <row r="36" spans="1:28" ht="51.75" customHeight="1" thickBot="1">
      <c r="A36" s="1551"/>
      <c r="B36" s="1556"/>
      <c r="C36" s="401"/>
      <c r="D36" s="4300">
        <f>'Copy &amp; Paste'!C34</f>
        <v>2023</v>
      </c>
      <c r="E36" s="4301"/>
      <c r="F36" s="4302" t="str">
        <f>D36+1&amp;" "&amp;IF('Copy &amp; Paste'!E37="","(Hochrechnung)","(abgeschl. Geschäftsjahr)")</f>
        <v>2024 (Hochrechnung)</v>
      </c>
      <c r="G36" s="4303"/>
      <c r="H36" s="4307" t="s">
        <v>100</v>
      </c>
      <c r="I36" s="4308"/>
      <c r="J36" s="1596"/>
      <c r="AA36" s="1550">
        <v>41548</v>
      </c>
      <c r="AB36" s="1550">
        <v>41912</v>
      </c>
    </row>
    <row r="37" spans="1:28" s="406" customFormat="1" ht="29.25" customHeight="1">
      <c r="A37" s="1551">
        <v>16</v>
      </c>
      <c r="B37" s="1598"/>
      <c r="C37" s="1606" t="s">
        <v>26</v>
      </c>
      <c r="D37" s="4294" t="str">
        <f>IF('Copy &amp; Paste'!C37="","",'Copy &amp; Paste'!C37)</f>
        <v/>
      </c>
      <c r="E37" s="4296"/>
      <c r="F37" s="4292">
        <f>IF('Copy &amp; Paste'!E37="",'Copy &amp; Paste'!G37,'Copy &amp; Paste'!E37)</f>
        <v>0</v>
      </c>
      <c r="G37" s="4299"/>
      <c r="H37" s="4292" t="e">
        <f>IF('Copy &amp; Paste'!B14="ja","",SUMPRODUCT(I23:I27,Belegung!F31:F35))</f>
        <v>#VALUE!</v>
      </c>
      <c r="I37" s="4293"/>
      <c r="J37" s="1600"/>
      <c r="AA37" s="1550">
        <v>41579</v>
      </c>
      <c r="AB37" s="1550">
        <v>41943</v>
      </c>
    </row>
    <row r="38" spans="1:28" s="406" customFormat="1" ht="29.25" customHeight="1">
      <c r="A38" s="1551">
        <v>17</v>
      </c>
      <c r="B38" s="1598"/>
      <c r="C38" s="1607" t="s">
        <v>27</v>
      </c>
      <c r="D38" s="4294" t="str">
        <f>IF('Copy &amp; Paste'!C38="","",'Copy &amp; Paste'!C38)</f>
        <v/>
      </c>
      <c r="E38" s="4296"/>
      <c r="F38" s="4297">
        <f>IF('Copy &amp; Paste'!E38="",'Copy &amp; Paste'!G38,'Copy &amp; Paste'!E38)</f>
        <v>0</v>
      </c>
      <c r="G38" s="4298"/>
      <c r="H38" s="4294" t="e">
        <f>IF('Copy &amp; Paste'!B14="ja","",'Copy &amp; Paste'!I38)*0+Belegung!F37*'Seite 1'!I28</f>
        <v>#VALUE!</v>
      </c>
      <c r="I38" s="4295"/>
      <c r="J38" s="1596"/>
      <c r="AA38" s="1550">
        <v>41609</v>
      </c>
      <c r="AB38" s="1550">
        <v>41973</v>
      </c>
    </row>
    <row r="39" spans="1:28" s="406" customFormat="1" ht="22.5" customHeight="1">
      <c r="A39" s="1551">
        <v>18</v>
      </c>
      <c r="B39" s="1598"/>
      <c r="C39" s="1607" t="s">
        <v>28</v>
      </c>
      <c r="D39" s="4294" t="str">
        <f>IF('Copy &amp; Paste'!C39="","",'Copy &amp; Paste'!C39)</f>
        <v/>
      </c>
      <c r="E39" s="4296"/>
      <c r="F39" s="4297">
        <f>IF('Copy &amp; Paste'!E39="",'Copy &amp; Paste'!G39,'Copy &amp; Paste'!E39)</f>
        <v>0</v>
      </c>
      <c r="G39" s="4298"/>
      <c r="H39" s="4294" t="str">
        <f>IF('Copy &amp; Paste'!I39="","",'Copy &amp; Paste'!I39)</f>
        <v/>
      </c>
      <c r="I39" s="4295"/>
      <c r="J39" s="1596"/>
      <c r="AA39" s="1550">
        <v>41640</v>
      </c>
      <c r="AB39" s="1550">
        <v>42004</v>
      </c>
    </row>
    <row r="40" spans="1:28" s="406" customFormat="1" ht="22.5" customHeight="1">
      <c r="A40" s="1551">
        <f>A39+1</f>
        <v>19</v>
      </c>
      <c r="B40" s="1598"/>
      <c r="C40" s="1608" t="s">
        <v>29</v>
      </c>
      <c r="D40" s="4287" t="str">
        <f>IF(ISNUMBER(D37),SUM(D37:E39),"")</f>
        <v/>
      </c>
      <c r="E40" s="4288"/>
      <c r="F40" s="4287">
        <f t="shared" ref="F40" si="0">IF(ISNUMBER(F37),SUM(F37:G39),"")</f>
        <v>0</v>
      </c>
      <c r="G40" s="4288"/>
      <c r="H40" s="4287" t="str">
        <f t="shared" ref="H40" si="1">IF(ISNUMBER(H37),SUM(H37:I39),"")</f>
        <v/>
      </c>
      <c r="I40" s="4290"/>
      <c r="J40" s="1600"/>
      <c r="AA40" s="1550">
        <v>41671</v>
      </c>
      <c r="AB40" s="1550">
        <v>42035</v>
      </c>
    </row>
    <row r="41" spans="1:28" s="406" customFormat="1" ht="22.5" customHeight="1">
      <c r="A41" s="1551"/>
      <c r="B41" s="1598"/>
      <c r="C41" s="1609" t="s">
        <v>224</v>
      </c>
      <c r="D41" s="4287">
        <f>Sachkosten!D46</f>
        <v>0</v>
      </c>
      <c r="E41" s="4288"/>
      <c r="F41" s="4287">
        <f>Sachkosten!G46</f>
        <v>0</v>
      </c>
      <c r="G41" s="4288"/>
      <c r="H41" s="4287">
        <f>Sachkosten!K46</f>
        <v>0</v>
      </c>
      <c r="I41" s="4290"/>
      <c r="J41" s="1596"/>
      <c r="AA41" s="1550">
        <v>41699</v>
      </c>
      <c r="AB41" s="1550">
        <v>42063</v>
      </c>
    </row>
    <row r="42" spans="1:28" s="406" customFormat="1" ht="22.5" customHeight="1">
      <c r="A42" s="1551"/>
      <c r="B42" s="1598"/>
      <c r="C42" s="1609" t="s">
        <v>222</v>
      </c>
      <c r="D42" s="4287" t="e">
        <f>D40-D41</f>
        <v>#VALUE!</v>
      </c>
      <c r="E42" s="4288"/>
      <c r="F42" s="4287">
        <f>F40-F41</f>
        <v>0</v>
      </c>
      <c r="G42" s="4288"/>
      <c r="H42" s="4287" t="e">
        <f>H40-H41</f>
        <v>#VALUE!</v>
      </c>
      <c r="I42" s="4290"/>
      <c r="J42" s="1610"/>
      <c r="AA42" s="1550">
        <v>41730</v>
      </c>
      <c r="AB42" s="1550">
        <v>42094</v>
      </c>
    </row>
    <row r="43" spans="1:28" ht="22.5" customHeight="1" thickBot="1">
      <c r="A43" s="1611"/>
      <c r="B43" s="1612"/>
      <c r="C43" s="2646" t="s">
        <v>225</v>
      </c>
      <c r="D43" s="4285" t="e">
        <f>D40/D41</f>
        <v>#VALUE!</v>
      </c>
      <c r="E43" s="4289"/>
      <c r="F43" s="4285" t="e">
        <f>F40/F41</f>
        <v>#DIV/0!</v>
      </c>
      <c r="G43" s="4289"/>
      <c r="H43" s="4285" t="e">
        <f>H40/H41</f>
        <v>#VALUE!</v>
      </c>
      <c r="I43" s="4286"/>
      <c r="J43" s="1613"/>
      <c r="AA43" s="1550">
        <v>41760</v>
      </c>
      <c r="AB43" s="1550">
        <v>42124</v>
      </c>
    </row>
    <row r="44" spans="1:28" ht="22.5" customHeight="1">
      <c r="A44" s="1551"/>
      <c r="B44" s="1556"/>
      <c r="C44" s="401"/>
      <c r="D44" s="1595"/>
      <c r="E44" s="401"/>
      <c r="F44" s="401"/>
      <c r="G44" s="401"/>
      <c r="H44" s="401"/>
      <c r="I44" s="401"/>
      <c r="J44" s="1614"/>
      <c r="AA44" s="1550">
        <v>41791</v>
      </c>
      <c r="AB44" s="1550">
        <v>42155</v>
      </c>
    </row>
    <row r="45" spans="1:28" ht="12.75" customHeight="1">
      <c r="A45" s="1551"/>
      <c r="B45" s="1556"/>
      <c r="C45" s="401"/>
      <c r="D45" s="1595"/>
      <c r="E45" s="1595"/>
      <c r="F45" s="401"/>
      <c r="G45" s="401"/>
      <c r="H45" s="401"/>
      <c r="I45" s="401"/>
      <c r="J45" s="1614"/>
      <c r="AA45" s="1550">
        <v>41821</v>
      </c>
      <c r="AB45" s="1550">
        <v>42185</v>
      </c>
    </row>
    <row r="46" spans="1:28">
      <c r="A46" s="1551"/>
      <c r="B46" s="1556"/>
      <c r="C46" s="401"/>
      <c r="D46" s="1595"/>
      <c r="E46" s="1595"/>
      <c r="F46" s="401"/>
      <c r="G46" s="401"/>
      <c r="H46" s="401"/>
      <c r="I46" s="401"/>
      <c r="J46" s="1615"/>
      <c r="AA46" s="1550">
        <v>41852</v>
      </c>
      <c r="AB46" s="1550">
        <v>42216</v>
      </c>
    </row>
    <row r="47" spans="1:28">
      <c r="A47" s="1551"/>
      <c r="B47" s="1556"/>
      <c r="C47" s="401"/>
      <c r="D47" s="1595"/>
      <c r="E47" s="1595"/>
      <c r="F47" s="401"/>
      <c r="G47" s="401"/>
      <c r="H47" s="401"/>
      <c r="I47" s="401"/>
      <c r="J47" s="1614"/>
      <c r="AA47" s="1550">
        <v>41883</v>
      </c>
      <c r="AB47" s="1550">
        <v>42247</v>
      </c>
    </row>
    <row r="48" spans="1:28">
      <c r="A48" s="1551"/>
      <c r="B48" s="1556"/>
      <c r="C48" s="401"/>
      <c r="D48" s="1595"/>
      <c r="E48" s="1595"/>
      <c r="F48" s="401"/>
      <c r="G48" s="401"/>
      <c r="H48" s="401"/>
      <c r="I48" s="401"/>
      <c r="J48" s="1614"/>
      <c r="AA48" s="1550">
        <v>41913</v>
      </c>
      <c r="AB48" s="1550">
        <v>42277</v>
      </c>
    </row>
    <row r="49" spans="1:28">
      <c r="A49" s="1551"/>
      <c r="B49" s="1556"/>
      <c r="C49" s="401"/>
      <c r="D49" s="1595"/>
      <c r="E49" s="1595"/>
      <c r="F49" s="401"/>
      <c r="G49" s="401"/>
      <c r="H49" s="401"/>
      <c r="I49" s="401"/>
      <c r="J49" s="401"/>
      <c r="AA49" s="1550">
        <v>41944</v>
      </c>
      <c r="AB49" s="1550">
        <v>42308</v>
      </c>
    </row>
    <row r="50" spans="1:28">
      <c r="A50" s="1551"/>
      <c r="B50" s="1556"/>
      <c r="C50" s="401"/>
      <c r="D50" s="1595"/>
      <c r="E50" s="1595"/>
      <c r="F50" s="401"/>
      <c r="G50" s="401"/>
      <c r="H50" s="401"/>
      <c r="I50" s="401"/>
      <c r="J50" s="401"/>
      <c r="AA50" s="1550">
        <v>41974</v>
      </c>
      <c r="AB50" s="1550">
        <v>42338</v>
      </c>
    </row>
    <row r="51" spans="1:28">
      <c r="A51" s="1551"/>
      <c r="B51" s="1556"/>
      <c r="C51" s="401"/>
      <c r="D51" s="1595"/>
      <c r="E51" s="1595"/>
      <c r="F51" s="401"/>
      <c r="G51" s="401"/>
      <c r="H51" s="401"/>
      <c r="I51" s="401"/>
      <c r="J51" s="401"/>
      <c r="AA51" s="1550">
        <v>42005</v>
      </c>
      <c r="AB51" s="1550">
        <v>42369</v>
      </c>
    </row>
    <row r="52" spans="1:28">
      <c r="A52" s="1551"/>
      <c r="B52" s="1556"/>
      <c r="C52" s="401"/>
      <c r="D52" s="1595"/>
      <c r="E52" s="1595"/>
      <c r="F52" s="401"/>
      <c r="G52" s="401"/>
      <c r="H52" s="401"/>
      <c r="I52" s="401"/>
      <c r="J52" s="401"/>
      <c r="AA52" s="1550">
        <v>42036</v>
      </c>
      <c r="AB52" s="1550">
        <v>42400</v>
      </c>
    </row>
    <row r="53" spans="1:28">
      <c r="A53" s="1551"/>
      <c r="B53" s="1556"/>
      <c r="C53" s="401"/>
      <c r="D53" s="1595"/>
      <c r="E53" s="1595"/>
      <c r="F53" s="401"/>
      <c r="G53" s="401"/>
      <c r="H53" s="401"/>
      <c r="I53" s="401"/>
      <c r="J53" s="401"/>
      <c r="AA53" s="1550">
        <v>42064</v>
      </c>
      <c r="AB53" s="1550">
        <v>42429</v>
      </c>
    </row>
    <row r="54" spans="1:28">
      <c r="A54" s="1551"/>
      <c r="B54" s="1556"/>
      <c r="C54" s="401"/>
      <c r="D54" s="1595"/>
      <c r="E54" s="1595"/>
      <c r="F54" s="401"/>
      <c r="G54" s="401"/>
      <c r="H54" s="401"/>
      <c r="I54" s="401"/>
      <c r="J54" s="401"/>
      <c r="AA54" s="1550">
        <v>42095</v>
      </c>
      <c r="AB54" s="1550">
        <v>42460</v>
      </c>
    </row>
    <row r="55" spans="1:28">
      <c r="A55" s="1551"/>
      <c r="B55" s="1556"/>
      <c r="C55" s="401"/>
      <c r="D55" s="1595"/>
      <c r="E55" s="1595"/>
      <c r="F55" s="401"/>
      <c r="G55" s="401"/>
      <c r="H55" s="401"/>
      <c r="I55" s="401"/>
      <c r="J55" s="401"/>
      <c r="AA55" s="1550">
        <v>42125</v>
      </c>
      <c r="AB55" s="1550">
        <v>42490</v>
      </c>
    </row>
    <row r="56" spans="1:28">
      <c r="A56" s="1551"/>
      <c r="B56" s="1556"/>
      <c r="C56" s="401"/>
      <c r="D56" s="1595"/>
      <c r="E56" s="1595"/>
      <c r="F56" s="401"/>
      <c r="G56" s="401"/>
      <c r="H56" s="401"/>
      <c r="I56" s="401"/>
      <c r="J56" s="401"/>
      <c r="AA56" s="1550">
        <v>42156</v>
      </c>
      <c r="AB56" s="1550">
        <v>42521</v>
      </c>
    </row>
    <row r="57" spans="1:28">
      <c r="A57" s="1551"/>
      <c r="B57" s="1556"/>
      <c r="C57" s="401"/>
      <c r="D57" s="1595"/>
      <c r="E57" s="1595"/>
      <c r="F57" s="401"/>
      <c r="G57" s="401"/>
      <c r="H57" s="401"/>
      <c r="I57" s="401"/>
      <c r="J57" s="401"/>
      <c r="AA57" s="1550">
        <v>42186</v>
      </c>
      <c r="AB57" s="1550">
        <v>42551</v>
      </c>
    </row>
    <row r="58" spans="1:28">
      <c r="A58" s="1551"/>
      <c r="B58" s="1556"/>
      <c r="C58" s="401"/>
      <c r="D58" s="1595"/>
      <c r="E58" s="1595"/>
      <c r="F58" s="401"/>
      <c r="G58" s="401"/>
      <c r="H58" s="401"/>
      <c r="I58" s="401"/>
      <c r="J58" s="401"/>
      <c r="AA58" s="1550">
        <v>42217</v>
      </c>
      <c r="AB58" s="1550">
        <v>42582</v>
      </c>
    </row>
    <row r="59" spans="1:28">
      <c r="A59" s="1551"/>
      <c r="B59" s="1556"/>
      <c r="C59" s="401"/>
      <c r="D59" s="1595"/>
      <c r="E59" s="1595"/>
      <c r="F59" s="401"/>
      <c r="G59" s="401"/>
      <c r="H59" s="401"/>
      <c r="I59" s="401"/>
      <c r="J59" s="401"/>
      <c r="AA59" s="1550">
        <v>42248</v>
      </c>
      <c r="AB59" s="1550">
        <v>42613</v>
      </c>
    </row>
    <row r="60" spans="1:28">
      <c r="A60" s="1551"/>
      <c r="B60" s="1556"/>
      <c r="C60" s="401"/>
      <c r="D60" s="1595"/>
      <c r="E60" s="1595"/>
      <c r="F60" s="401"/>
      <c r="G60" s="401"/>
      <c r="H60" s="401"/>
      <c r="I60" s="401"/>
      <c r="J60" s="401"/>
      <c r="AA60" s="1550">
        <v>42278</v>
      </c>
      <c r="AB60" s="1550">
        <v>42643</v>
      </c>
    </row>
    <row r="61" spans="1:28">
      <c r="A61" s="1551"/>
      <c r="B61" s="1556"/>
      <c r="C61" s="401"/>
      <c r="D61" s="1595"/>
      <c r="E61" s="1595"/>
      <c r="F61" s="401"/>
      <c r="G61" s="401"/>
      <c r="H61" s="401"/>
      <c r="I61" s="401"/>
      <c r="J61" s="401"/>
      <c r="AA61" s="1550">
        <v>42309</v>
      </c>
      <c r="AB61" s="1550">
        <v>42674</v>
      </c>
    </row>
    <row r="62" spans="1:28">
      <c r="A62" s="1551"/>
      <c r="B62" s="1556"/>
      <c r="C62" s="401"/>
      <c r="D62" s="1595"/>
      <c r="E62" s="1595"/>
      <c r="F62" s="401"/>
      <c r="G62" s="401"/>
      <c r="H62" s="401"/>
      <c r="I62" s="401"/>
      <c r="J62" s="401"/>
      <c r="AA62" s="1550">
        <v>42339</v>
      </c>
      <c r="AB62" s="1550">
        <v>42704</v>
      </c>
    </row>
    <row r="63" spans="1:28">
      <c r="A63" s="1551"/>
      <c r="B63" s="1556"/>
      <c r="C63" s="401"/>
      <c r="D63" s="1595"/>
      <c r="E63" s="1595"/>
      <c r="F63" s="401"/>
      <c r="G63" s="401"/>
      <c r="H63" s="401"/>
      <c r="I63" s="401"/>
      <c r="J63" s="401"/>
      <c r="AA63" s="1550">
        <v>42370</v>
      </c>
      <c r="AB63" s="1550">
        <v>42735</v>
      </c>
    </row>
    <row r="64" spans="1:28">
      <c r="A64" s="1551"/>
      <c r="B64" s="1556"/>
      <c r="C64" s="401"/>
      <c r="D64" s="1595"/>
      <c r="E64" s="1595"/>
      <c r="F64" s="401"/>
      <c r="G64" s="401"/>
      <c r="H64" s="401"/>
      <c r="I64" s="401"/>
      <c r="J64" s="401"/>
      <c r="AA64" s="1550">
        <v>42401</v>
      </c>
      <c r="AB64" s="1550">
        <v>42766</v>
      </c>
    </row>
    <row r="65" spans="1:28">
      <c r="A65" s="1551"/>
      <c r="B65" s="1556"/>
      <c r="C65" s="401"/>
      <c r="D65" s="1595"/>
      <c r="E65" s="1595"/>
      <c r="F65" s="401"/>
      <c r="G65" s="401"/>
      <c r="H65" s="401"/>
      <c r="I65" s="401"/>
      <c r="J65" s="401"/>
      <c r="AA65" s="1550">
        <v>42430</v>
      </c>
      <c r="AB65" s="1550">
        <v>42794</v>
      </c>
    </row>
    <row r="66" spans="1:28">
      <c r="A66" s="1551"/>
      <c r="B66" s="1556"/>
      <c r="C66" s="401"/>
      <c r="D66" s="1595"/>
      <c r="E66" s="1595"/>
      <c r="F66" s="401"/>
      <c r="G66" s="401"/>
      <c r="H66" s="401"/>
      <c r="I66" s="401"/>
      <c r="J66" s="401"/>
      <c r="AA66" s="1550">
        <v>42461</v>
      </c>
      <c r="AB66" s="1550">
        <v>42825</v>
      </c>
    </row>
    <row r="67" spans="1:28">
      <c r="A67" s="1551"/>
      <c r="B67" s="1556"/>
      <c r="C67" s="401"/>
      <c r="D67" s="1595"/>
      <c r="E67" s="1595"/>
      <c r="F67" s="401"/>
      <c r="G67" s="401"/>
      <c r="H67" s="401"/>
      <c r="I67" s="401"/>
      <c r="J67" s="401"/>
      <c r="AA67" s="1550">
        <v>42491</v>
      </c>
      <c r="AB67" s="1550">
        <v>42855</v>
      </c>
    </row>
    <row r="68" spans="1:28">
      <c r="A68" s="1551"/>
      <c r="B68" s="1556"/>
      <c r="C68" s="401"/>
      <c r="D68" s="1595"/>
      <c r="E68" s="1595"/>
      <c r="F68" s="401"/>
      <c r="G68" s="401"/>
      <c r="H68" s="401"/>
      <c r="I68" s="401"/>
      <c r="J68" s="401"/>
      <c r="AA68" s="1550">
        <v>42522</v>
      </c>
      <c r="AB68" s="1550">
        <v>42886</v>
      </c>
    </row>
    <row r="69" spans="1:28">
      <c r="A69" s="1551"/>
      <c r="B69" s="1556"/>
      <c r="C69" s="401"/>
      <c r="D69" s="1595"/>
      <c r="E69" s="1595"/>
      <c r="F69" s="401"/>
      <c r="G69" s="401"/>
      <c r="H69" s="401"/>
      <c r="I69" s="401"/>
      <c r="J69" s="401"/>
      <c r="AA69" s="1550">
        <v>42552</v>
      </c>
      <c r="AB69" s="1550">
        <v>42916</v>
      </c>
    </row>
    <row r="70" spans="1:28">
      <c r="A70" s="1551"/>
      <c r="B70" s="1556"/>
      <c r="C70" s="401"/>
      <c r="D70" s="1595"/>
      <c r="E70" s="401"/>
      <c r="F70" s="401"/>
      <c r="G70" s="401"/>
      <c r="H70" s="401"/>
      <c r="I70" s="401"/>
      <c r="J70" s="401"/>
      <c r="AA70" s="1550">
        <v>42583</v>
      </c>
      <c r="AB70" s="1550">
        <v>42947</v>
      </c>
    </row>
    <row r="71" spans="1:28" ht="15.75">
      <c r="A71" s="4317"/>
      <c r="B71" s="4317"/>
      <c r="C71" s="4317"/>
      <c r="D71" s="4317"/>
      <c r="E71" s="4317"/>
      <c r="F71" s="4317"/>
      <c r="G71" s="4317"/>
      <c r="H71" s="4317"/>
      <c r="I71" s="4317"/>
      <c r="AA71" s="1550">
        <v>42614</v>
      </c>
      <c r="AB71" s="1550">
        <v>42978</v>
      </c>
    </row>
    <row r="72" spans="1:28">
      <c r="A72" s="991"/>
      <c r="B72" s="1616"/>
      <c r="C72" s="1617"/>
      <c r="D72" s="4320"/>
      <c r="E72" s="4320"/>
      <c r="F72" s="4320"/>
      <c r="G72" s="404"/>
      <c r="H72" s="404"/>
      <c r="I72" s="404"/>
      <c r="AA72" s="1550">
        <v>42644</v>
      </c>
      <c r="AB72" s="1550">
        <v>43008</v>
      </c>
    </row>
    <row r="73" spans="1:28" ht="15.75">
      <c r="A73" s="404"/>
      <c r="B73" s="404"/>
      <c r="C73" s="1618"/>
      <c r="D73" s="4284"/>
      <c r="E73" s="4284"/>
      <c r="F73" s="4284"/>
      <c r="G73" s="404"/>
      <c r="H73" s="4318"/>
      <c r="I73" s="4318"/>
      <c r="AA73" s="1550">
        <v>42675</v>
      </c>
      <c r="AB73" s="1550">
        <v>43039</v>
      </c>
    </row>
    <row r="74" spans="1:28" ht="15.75">
      <c r="A74" s="404"/>
      <c r="B74" s="404"/>
      <c r="C74" s="1618"/>
      <c r="D74" s="4284"/>
      <c r="E74" s="4284"/>
      <c r="F74" s="4284"/>
      <c r="G74" s="404"/>
      <c r="H74" s="4319"/>
      <c r="I74" s="4319"/>
      <c r="AA74" s="1550">
        <v>42705</v>
      </c>
      <c r="AB74" s="1550">
        <v>43069</v>
      </c>
    </row>
    <row r="75" spans="1:28" ht="15.75">
      <c r="A75" s="404"/>
      <c r="B75" s="404"/>
      <c r="C75" s="1618"/>
      <c r="D75" s="4284"/>
      <c r="E75" s="4284"/>
      <c r="F75" s="4284"/>
      <c r="G75" s="404"/>
      <c r="H75" s="1619"/>
      <c r="I75" s="1619"/>
      <c r="AA75" s="1550">
        <v>42736</v>
      </c>
      <c r="AB75" s="1550">
        <v>43100</v>
      </c>
    </row>
    <row r="76" spans="1:28" ht="15.75">
      <c r="A76" s="404"/>
      <c r="B76" s="404"/>
      <c r="C76" s="1618"/>
      <c r="D76" s="4284"/>
      <c r="E76" s="4284"/>
      <c r="F76" s="4284"/>
      <c r="G76" s="404"/>
      <c r="H76" s="1619"/>
      <c r="I76" s="1619"/>
      <c r="AA76" s="1550">
        <v>42767</v>
      </c>
      <c r="AB76" s="1550">
        <v>43131</v>
      </c>
    </row>
    <row r="77" spans="1:28" ht="15.75">
      <c r="A77" s="404"/>
      <c r="B77" s="404"/>
      <c r="C77" s="1618"/>
      <c r="D77" s="4284"/>
      <c r="E77" s="4284"/>
      <c r="F77" s="4284"/>
      <c r="G77" s="404"/>
      <c r="H77" s="1619"/>
      <c r="I77" s="1619"/>
      <c r="AA77" s="1550">
        <v>42795</v>
      </c>
      <c r="AB77" s="1550">
        <v>43159</v>
      </c>
    </row>
    <row r="78" spans="1:28" ht="15.75">
      <c r="A78" s="404"/>
      <c r="B78" s="404"/>
      <c r="C78" s="1618"/>
      <c r="D78" s="4284"/>
      <c r="E78" s="4284"/>
      <c r="F78" s="4284"/>
      <c r="G78" s="404"/>
      <c r="H78" s="1619"/>
      <c r="I78" s="1619"/>
      <c r="AA78" s="1550">
        <v>42826</v>
      </c>
      <c r="AB78" s="1550">
        <v>43190</v>
      </c>
    </row>
    <row r="79" spans="1:28" ht="15.75">
      <c r="A79" s="404"/>
      <c r="B79" s="404"/>
      <c r="C79" s="1618"/>
      <c r="D79" s="4284"/>
      <c r="E79" s="4284"/>
      <c r="F79" s="4284"/>
      <c r="G79" s="404"/>
      <c r="H79" s="1619"/>
      <c r="I79" s="1619"/>
      <c r="AA79" s="1550">
        <v>42856</v>
      </c>
      <c r="AB79" s="1550">
        <v>43220</v>
      </c>
    </row>
    <row r="80" spans="1:28" ht="15.75">
      <c r="A80" s="404"/>
      <c r="B80" s="404"/>
      <c r="C80" s="1618"/>
      <c r="D80" s="4284"/>
      <c r="E80" s="4284"/>
      <c r="F80" s="4284"/>
      <c r="G80" s="404"/>
      <c r="H80" s="404"/>
      <c r="I80" s="404"/>
      <c r="AA80" s="1550">
        <v>42887</v>
      </c>
      <c r="AB80" s="1550">
        <v>43251</v>
      </c>
    </row>
    <row r="81" spans="1:28">
      <c r="A81" s="404"/>
      <c r="B81" s="404"/>
      <c r="C81" s="404"/>
      <c r="D81" s="404"/>
      <c r="E81" s="404"/>
      <c r="F81" s="404"/>
      <c r="G81" s="404"/>
      <c r="H81" s="404"/>
      <c r="I81" s="404"/>
      <c r="AA81" s="1550">
        <v>42917</v>
      </c>
      <c r="AB81" s="1550">
        <v>43281</v>
      </c>
    </row>
    <row r="82" spans="1:28">
      <c r="A82" s="1551"/>
      <c r="B82" s="1556"/>
      <c r="C82" s="401"/>
      <c r="D82" s="401"/>
      <c r="E82" s="401"/>
      <c r="F82" s="401"/>
      <c r="G82" s="401"/>
      <c r="H82" s="401"/>
      <c r="I82" s="401"/>
      <c r="AA82" s="1550">
        <v>42948</v>
      </c>
      <c r="AB82" s="1550">
        <v>43312</v>
      </c>
    </row>
    <row r="83" spans="1:28" s="402" customFormat="1">
      <c r="A83" s="1080"/>
      <c r="B83" s="1620"/>
      <c r="J83" s="1621"/>
      <c r="AA83" s="1550">
        <v>42979</v>
      </c>
      <c r="AB83" s="1550">
        <v>43343</v>
      </c>
    </row>
    <row r="84" spans="1:28" s="402" customFormat="1">
      <c r="A84" s="4291"/>
      <c r="B84" s="4291"/>
      <c r="C84" s="4291"/>
      <c r="D84" s="4291"/>
      <c r="E84" s="4291"/>
      <c r="F84" s="4291"/>
      <c r="G84" s="4291"/>
      <c r="H84" s="4291"/>
      <c r="I84" s="1622"/>
      <c r="J84" s="1621"/>
      <c r="AA84" s="1550">
        <v>43009</v>
      </c>
      <c r="AB84" s="1550">
        <v>43373</v>
      </c>
    </row>
    <row r="85" spans="1:28" s="402" customFormat="1">
      <c r="A85" s="1080"/>
      <c r="B85" s="1620"/>
      <c r="J85" s="1621"/>
      <c r="AA85" s="1550">
        <v>43040</v>
      </c>
      <c r="AB85" s="1550">
        <v>43404</v>
      </c>
    </row>
    <row r="86" spans="1:28" s="402" customFormat="1">
      <c r="A86" s="1080"/>
      <c r="B86" s="1620"/>
      <c r="J86" s="1621"/>
      <c r="AA86" s="1550">
        <v>43070</v>
      </c>
      <c r="AB86" s="1550">
        <v>43434</v>
      </c>
    </row>
    <row r="87" spans="1:28" s="402" customFormat="1">
      <c r="A87" s="1080"/>
      <c r="B87" s="1620"/>
      <c r="J87" s="1621"/>
      <c r="AA87" s="1550">
        <v>43101</v>
      </c>
      <c r="AB87" s="1550">
        <v>43465</v>
      </c>
    </row>
    <row r="88" spans="1:28" s="402" customFormat="1">
      <c r="A88" s="4291"/>
      <c r="B88" s="4291"/>
      <c r="C88" s="4291"/>
      <c r="D88" s="4291"/>
      <c r="E88" s="4291"/>
      <c r="F88" s="4291"/>
      <c r="G88" s="4291"/>
      <c r="H88" s="4291"/>
      <c r="I88" s="1623"/>
      <c r="J88" s="1621"/>
      <c r="AA88" s="1550">
        <v>43132</v>
      </c>
      <c r="AB88" s="1550">
        <v>43496</v>
      </c>
    </row>
    <row r="89" spans="1:28" s="402" customFormat="1">
      <c r="A89" s="1080"/>
      <c r="B89" s="1620"/>
      <c r="J89" s="1621"/>
      <c r="AA89" s="1550">
        <v>43160</v>
      </c>
      <c r="AB89" s="1550">
        <v>43524</v>
      </c>
    </row>
    <row r="90" spans="1:28">
      <c r="AA90" s="1550">
        <v>43191</v>
      </c>
      <c r="AB90" s="1550">
        <v>43555</v>
      </c>
    </row>
    <row r="91" spans="1:28">
      <c r="A91" s="1573"/>
      <c r="B91" s="1556"/>
      <c r="C91" s="401"/>
      <c r="D91" s="401"/>
      <c r="E91" s="401"/>
      <c r="F91" s="401"/>
      <c r="G91" s="401"/>
      <c r="H91" s="401"/>
      <c r="I91" s="401"/>
      <c r="J91" s="1625"/>
      <c r="K91" s="401"/>
      <c r="L91" s="401"/>
      <c r="AA91" s="1550">
        <v>43221</v>
      </c>
      <c r="AB91" s="1550">
        <v>43585</v>
      </c>
    </row>
    <row r="92" spans="1:28" ht="20.25" customHeight="1">
      <c r="A92" s="1573"/>
      <c r="B92" s="1556"/>
      <c r="C92" s="4283"/>
      <c r="D92" s="4283"/>
      <c r="E92" s="4283"/>
      <c r="F92" s="4283"/>
      <c r="G92" s="4283"/>
      <c r="H92" s="4283"/>
      <c r="I92" s="4283"/>
      <c r="J92" s="1625"/>
      <c r="K92" s="401"/>
      <c r="L92" s="401"/>
      <c r="AA92" s="1550">
        <v>43252</v>
      </c>
      <c r="AB92" s="1550">
        <v>43616</v>
      </c>
    </row>
    <row r="93" spans="1:28" ht="15">
      <c r="A93" s="1573"/>
      <c r="B93" s="1556"/>
      <c r="C93" s="1626"/>
      <c r="D93" s="1627"/>
      <c r="E93" s="1627"/>
      <c r="F93" s="1627"/>
      <c r="G93" s="1627"/>
      <c r="H93" s="1627"/>
      <c r="I93" s="1627"/>
      <c r="J93" s="1627"/>
      <c r="K93" s="401"/>
      <c r="L93" s="401"/>
      <c r="AA93" s="1550">
        <v>43282</v>
      </c>
      <c r="AB93" s="1550">
        <v>43646</v>
      </c>
    </row>
    <row r="94" spans="1:28" ht="15">
      <c r="A94" s="1573"/>
      <c r="B94" s="1556"/>
      <c r="C94" s="712"/>
      <c r="D94" s="1628"/>
      <c r="E94" s="1627"/>
      <c r="F94" s="1627"/>
      <c r="G94" s="1627"/>
      <c r="H94" s="1627"/>
      <c r="I94" s="1627"/>
      <c r="J94" s="1625"/>
      <c r="K94" s="401"/>
      <c r="L94" s="401"/>
      <c r="AA94" s="1550">
        <v>43313</v>
      </c>
      <c r="AB94" s="1550">
        <v>43677</v>
      </c>
    </row>
    <row r="95" spans="1:28" ht="15">
      <c r="A95" s="1573"/>
      <c r="B95" s="1556"/>
      <c r="C95" s="712"/>
      <c r="D95" s="1628"/>
      <c r="E95" s="401"/>
      <c r="F95" s="1629"/>
      <c r="G95" s="1627"/>
      <c r="H95" s="1627"/>
      <c r="I95" s="1627"/>
      <c r="J95" s="1625"/>
      <c r="K95" s="401"/>
      <c r="L95" s="401"/>
      <c r="AA95" s="1550">
        <v>43344</v>
      </c>
      <c r="AB95" s="1550">
        <v>43708</v>
      </c>
    </row>
    <row r="96" spans="1:28" ht="15">
      <c r="A96" s="1573"/>
      <c r="B96" s="1556"/>
      <c r="C96" s="712"/>
      <c r="D96" s="1628"/>
      <c r="E96" s="1627"/>
      <c r="F96" s="1630"/>
      <c r="G96" s="1627"/>
      <c r="H96" s="1627"/>
      <c r="I96" s="1627"/>
      <c r="J96" s="1625"/>
      <c r="K96" s="401"/>
      <c r="L96" s="401"/>
      <c r="AA96" s="1550">
        <v>43374</v>
      </c>
      <c r="AB96" s="1550">
        <v>43738</v>
      </c>
    </row>
    <row r="97" spans="1:28" ht="15">
      <c r="A97" s="1573"/>
      <c r="B97" s="1556"/>
      <c r="C97" s="712"/>
      <c r="D97" s="1628"/>
      <c r="E97" s="1627"/>
      <c r="F97" s="1627"/>
      <c r="G97" s="1627"/>
      <c r="H97" s="1627"/>
      <c r="I97" s="1627"/>
      <c r="J97" s="1625"/>
      <c r="K97" s="401"/>
      <c r="L97" s="401"/>
      <c r="AA97" s="1550">
        <v>43405</v>
      </c>
      <c r="AB97" s="1550">
        <v>43769</v>
      </c>
    </row>
    <row r="98" spans="1:28" ht="15">
      <c r="A98" s="1631"/>
      <c r="B98" s="1632"/>
      <c r="C98" s="1633"/>
      <c r="D98" s="1634"/>
      <c r="E98" s="1634"/>
      <c r="F98" s="1634"/>
      <c r="G98" s="1634"/>
      <c r="H98" s="1635"/>
      <c r="I98" s="1634"/>
      <c r="J98" s="1634"/>
      <c r="K98" s="1636"/>
      <c r="L98" s="1636"/>
      <c r="AA98" s="1550">
        <v>43435</v>
      </c>
      <c r="AB98" s="1550">
        <v>43799</v>
      </c>
    </row>
    <row r="99" spans="1:28">
      <c r="A99" s="1573"/>
      <c r="B99" s="1556"/>
      <c r="C99" s="401"/>
      <c r="D99" s="401"/>
      <c r="E99" s="401"/>
      <c r="F99" s="401"/>
      <c r="G99" s="401"/>
      <c r="H99" s="401"/>
      <c r="I99" s="401"/>
      <c r="J99" s="1625"/>
      <c r="K99" s="401"/>
      <c r="L99" s="401"/>
      <c r="AA99" s="1550">
        <v>43466</v>
      </c>
      <c r="AB99" s="1550">
        <v>43830</v>
      </c>
    </row>
    <row r="100" spans="1:28">
      <c r="AA100" s="1550">
        <v>43497</v>
      </c>
      <c r="AB100" s="1550">
        <v>43861</v>
      </c>
    </row>
    <row r="101" spans="1:28">
      <c r="AA101" s="1550">
        <v>43525</v>
      </c>
      <c r="AB101" s="1550">
        <v>43890</v>
      </c>
    </row>
    <row r="102" spans="1:28">
      <c r="AA102" s="1550">
        <v>43556</v>
      </c>
      <c r="AB102" s="1550">
        <v>43921</v>
      </c>
    </row>
    <row r="103" spans="1:28">
      <c r="AA103" s="1550">
        <v>43586</v>
      </c>
      <c r="AB103" s="1550">
        <v>43951</v>
      </c>
    </row>
    <row r="104" spans="1:28">
      <c r="AA104" s="1550">
        <v>43617</v>
      </c>
      <c r="AB104" s="1550">
        <v>43982</v>
      </c>
    </row>
    <row r="105" spans="1:28">
      <c r="AA105" s="1550">
        <v>43647</v>
      </c>
      <c r="AB105" s="1550">
        <v>44012</v>
      </c>
    </row>
    <row r="106" spans="1:28">
      <c r="AA106" s="1550">
        <v>43678</v>
      </c>
      <c r="AB106" s="1550">
        <v>44043</v>
      </c>
    </row>
    <row r="107" spans="1:28">
      <c r="AA107" s="1550">
        <v>43709</v>
      </c>
      <c r="AB107" s="1550">
        <v>44074</v>
      </c>
    </row>
    <row r="108" spans="1:28">
      <c r="AA108" s="1550">
        <v>43739</v>
      </c>
      <c r="AB108" s="1550">
        <v>44104</v>
      </c>
    </row>
    <row r="109" spans="1:28">
      <c r="AA109" s="1550">
        <v>43770</v>
      </c>
      <c r="AB109" s="1550">
        <v>44135</v>
      </c>
    </row>
    <row r="110" spans="1:28">
      <c r="AA110" s="1550">
        <v>43800</v>
      </c>
      <c r="AB110" s="1550">
        <v>44165</v>
      </c>
    </row>
    <row r="111" spans="1:28">
      <c r="AA111" s="1550">
        <v>43831</v>
      </c>
      <c r="AB111" s="1550">
        <v>44196</v>
      </c>
    </row>
    <row r="112" spans="1:28">
      <c r="AA112" s="1550">
        <v>43862</v>
      </c>
      <c r="AB112" s="1550">
        <v>44227</v>
      </c>
    </row>
    <row r="113" spans="27:28">
      <c r="AA113" s="1550">
        <v>43891</v>
      </c>
      <c r="AB113" s="1550">
        <v>44255</v>
      </c>
    </row>
    <row r="114" spans="27:28">
      <c r="AA114" s="1550">
        <v>43922</v>
      </c>
      <c r="AB114" s="1550">
        <v>44286</v>
      </c>
    </row>
    <row r="115" spans="27:28">
      <c r="AA115" s="1550">
        <v>43952</v>
      </c>
      <c r="AB115" s="1550">
        <v>44316</v>
      </c>
    </row>
    <row r="116" spans="27:28">
      <c r="AA116" s="1550">
        <v>43983</v>
      </c>
      <c r="AB116" s="1550">
        <v>44347</v>
      </c>
    </row>
    <row r="117" spans="27:28">
      <c r="AA117" s="1550">
        <v>44013</v>
      </c>
      <c r="AB117" s="1550">
        <v>44377</v>
      </c>
    </row>
    <row r="118" spans="27:28">
      <c r="AA118" s="1550">
        <v>44044</v>
      </c>
      <c r="AB118" s="1550">
        <v>44408</v>
      </c>
    </row>
    <row r="119" spans="27:28">
      <c r="AA119" s="1550">
        <v>44075</v>
      </c>
      <c r="AB119" s="1550">
        <v>44439</v>
      </c>
    </row>
    <row r="120" spans="27:28">
      <c r="AA120" s="1550">
        <v>44105</v>
      </c>
      <c r="AB120" s="1550">
        <v>44469</v>
      </c>
    </row>
    <row r="121" spans="27:28">
      <c r="AA121" s="1550">
        <v>44136</v>
      </c>
      <c r="AB121" s="1550">
        <v>44500</v>
      </c>
    </row>
    <row r="122" spans="27:28">
      <c r="AA122" s="1550">
        <v>44166</v>
      </c>
      <c r="AB122" s="1550">
        <v>44530</v>
      </c>
    </row>
    <row r="123" spans="27:28">
      <c r="AA123" s="1550">
        <v>44197</v>
      </c>
      <c r="AB123" s="1550">
        <v>44561</v>
      </c>
    </row>
    <row r="124" spans="27:28">
      <c r="AA124" s="1550">
        <v>44228</v>
      </c>
      <c r="AB124" s="1550">
        <v>44592</v>
      </c>
    </row>
    <row r="125" spans="27:28">
      <c r="AA125" s="1550">
        <v>44256</v>
      </c>
      <c r="AB125" s="1550">
        <v>44620</v>
      </c>
    </row>
    <row r="156" spans="2:3">
      <c r="B156" s="1637"/>
      <c r="C156" s="1548"/>
    </row>
    <row r="157" spans="2:3">
      <c r="B157" s="1637"/>
      <c r="C157" s="1548"/>
    </row>
    <row r="158" spans="2:3">
      <c r="B158" s="1637"/>
      <c r="C158" s="1548"/>
    </row>
    <row r="159" spans="2:3">
      <c r="B159" s="1637"/>
      <c r="C159" s="1548"/>
    </row>
    <row r="160" spans="2:3">
      <c r="B160" s="1637"/>
      <c r="C160" s="1548"/>
    </row>
    <row r="161" spans="2:3">
      <c r="B161" s="1637"/>
      <c r="C161" s="1548"/>
    </row>
    <row r="162" spans="2:3">
      <c r="B162" s="1637"/>
      <c r="C162" s="1548"/>
    </row>
    <row r="163" spans="2:3">
      <c r="B163" s="1637"/>
      <c r="C163" s="1548"/>
    </row>
    <row r="164" spans="2:3">
      <c r="B164" s="1637"/>
      <c r="C164" s="1548"/>
    </row>
    <row r="165" spans="2:3">
      <c r="B165" s="1637"/>
      <c r="C165" s="1548"/>
    </row>
    <row r="166" spans="2:3">
      <c r="B166" s="1637"/>
      <c r="C166" s="1548"/>
    </row>
    <row r="167" spans="2:3">
      <c r="B167" s="1637"/>
      <c r="C167" s="1548"/>
    </row>
    <row r="168" spans="2:3">
      <c r="B168" s="1637"/>
      <c r="C168" s="1548"/>
    </row>
    <row r="169" spans="2:3">
      <c r="B169" s="1637"/>
      <c r="C169" s="1548"/>
    </row>
    <row r="170" spans="2:3">
      <c r="B170" s="1637"/>
      <c r="C170" s="1548"/>
    </row>
    <row r="171" spans="2:3">
      <c r="B171" s="1637"/>
      <c r="C171" s="1548"/>
    </row>
    <row r="172" spans="2:3">
      <c r="B172" s="1637"/>
      <c r="C172" s="1548"/>
    </row>
    <row r="173" spans="2:3">
      <c r="B173" s="1637"/>
      <c r="C173" s="1548"/>
    </row>
    <row r="174" spans="2:3">
      <c r="B174" s="1637"/>
      <c r="C174" s="1548"/>
    </row>
    <row r="175" spans="2:3">
      <c r="B175" s="1637"/>
      <c r="C175" s="1548"/>
    </row>
    <row r="176" spans="2:3">
      <c r="B176" s="1637"/>
      <c r="C176" s="1548"/>
    </row>
    <row r="177" spans="2:3">
      <c r="B177" s="1637"/>
      <c r="C177" s="1548"/>
    </row>
    <row r="178" spans="2:3">
      <c r="B178" s="1637"/>
      <c r="C178" s="1548"/>
    </row>
    <row r="179" spans="2:3">
      <c r="B179" s="1637"/>
      <c r="C179" s="1548"/>
    </row>
    <row r="180" spans="2:3">
      <c r="B180" s="1637"/>
      <c r="C180" s="1548"/>
    </row>
    <row r="181" spans="2:3">
      <c r="B181" s="1637"/>
      <c r="C181" s="1548"/>
    </row>
    <row r="182" spans="2:3">
      <c r="B182" s="1637"/>
      <c r="C182" s="1548"/>
    </row>
    <row r="183" spans="2:3">
      <c r="B183" s="1637"/>
      <c r="C183" s="1548"/>
    </row>
    <row r="184" spans="2:3">
      <c r="B184" s="1637"/>
      <c r="C184" s="1548"/>
    </row>
    <row r="185" spans="2:3">
      <c r="B185" s="1637"/>
      <c r="C185" s="1548"/>
    </row>
    <row r="186" spans="2:3">
      <c r="B186" s="1637"/>
      <c r="C186" s="1548"/>
    </row>
    <row r="187" spans="2:3">
      <c r="B187" s="1637"/>
      <c r="C187" s="1548"/>
    </row>
    <row r="188" spans="2:3">
      <c r="B188" s="1637"/>
      <c r="C188" s="1548"/>
    </row>
    <row r="189" spans="2:3">
      <c r="B189" s="1637"/>
      <c r="C189" s="1548"/>
    </row>
    <row r="190" spans="2:3">
      <c r="B190" s="1637"/>
      <c r="C190" s="1548"/>
    </row>
    <row r="191" spans="2:3">
      <c r="B191" s="1637"/>
      <c r="C191" s="1548"/>
    </row>
    <row r="192" spans="2:3">
      <c r="B192" s="1637"/>
      <c r="C192" s="1548"/>
    </row>
    <row r="193" spans="2:3">
      <c r="B193" s="1637"/>
      <c r="C193" s="1548"/>
    </row>
    <row r="194" spans="2:3">
      <c r="B194" s="1637"/>
      <c r="C194" s="1548"/>
    </row>
    <row r="195" spans="2:3">
      <c r="B195" s="1637"/>
      <c r="C195" s="1548"/>
    </row>
    <row r="196" spans="2:3">
      <c r="B196" s="1637"/>
      <c r="C196" s="1548"/>
    </row>
    <row r="197" spans="2:3">
      <c r="B197" s="1637"/>
      <c r="C197" s="1548"/>
    </row>
    <row r="198" spans="2:3">
      <c r="B198" s="1637"/>
      <c r="C198" s="1548"/>
    </row>
    <row r="199" spans="2:3">
      <c r="B199" s="1637"/>
      <c r="C199" s="1548"/>
    </row>
    <row r="200" spans="2:3">
      <c r="B200" s="1637"/>
      <c r="C200" s="1548"/>
    </row>
    <row r="201" spans="2:3">
      <c r="B201" s="1637"/>
      <c r="C201" s="1548"/>
    </row>
    <row r="202" spans="2:3">
      <c r="B202" s="1637"/>
      <c r="C202" s="1548"/>
    </row>
    <row r="203" spans="2:3">
      <c r="B203" s="1637"/>
      <c r="C203" s="1548"/>
    </row>
    <row r="204" spans="2:3">
      <c r="B204" s="1637"/>
      <c r="C204" s="1548"/>
    </row>
    <row r="205" spans="2:3">
      <c r="B205" s="1637"/>
      <c r="C205" s="1548"/>
    </row>
    <row r="206" spans="2:3">
      <c r="B206" s="1637"/>
      <c r="C206" s="1548"/>
    </row>
    <row r="207" spans="2:3">
      <c r="B207" s="1637"/>
      <c r="C207" s="1548"/>
    </row>
    <row r="208" spans="2:3">
      <c r="B208" s="1637"/>
      <c r="C208" s="1548"/>
    </row>
    <row r="209" spans="2:3">
      <c r="B209" s="1637"/>
      <c r="C209" s="1548"/>
    </row>
    <row r="210" spans="2:3">
      <c r="B210" s="1637"/>
      <c r="C210" s="1548"/>
    </row>
    <row r="211" spans="2:3">
      <c r="B211" s="1637"/>
      <c r="C211" s="1548"/>
    </row>
    <row r="212" spans="2:3">
      <c r="B212" s="1637"/>
      <c r="C212" s="1548"/>
    </row>
    <row r="213" spans="2:3">
      <c r="B213" s="1637"/>
      <c r="C213" s="1548"/>
    </row>
    <row r="214" spans="2:3">
      <c r="B214" s="1637"/>
      <c r="C214" s="1548"/>
    </row>
    <row r="215" spans="2:3">
      <c r="B215" s="1637"/>
      <c r="C215" s="1548"/>
    </row>
    <row r="216" spans="2:3">
      <c r="B216" s="1637"/>
      <c r="C216" s="1548"/>
    </row>
    <row r="217" spans="2:3">
      <c r="B217" s="1637"/>
      <c r="C217" s="1548"/>
    </row>
    <row r="218" spans="2:3">
      <c r="B218" s="1637"/>
      <c r="C218" s="1548"/>
    </row>
  </sheetData>
  <sheetProtection sheet="1" selectLockedCells="1"/>
  <mergeCells count="53">
    <mergeCell ref="A71:I71"/>
    <mergeCell ref="H73:I73"/>
    <mergeCell ref="H74:I74"/>
    <mergeCell ref="D72:F72"/>
    <mergeCell ref="D78:F78"/>
    <mergeCell ref="D36:E36"/>
    <mergeCell ref="F36:G36"/>
    <mergeCell ref="H10:I10"/>
    <mergeCell ref="E15:F15"/>
    <mergeCell ref="H36:I36"/>
    <mergeCell ref="H14:I14"/>
    <mergeCell ref="D18:G18"/>
    <mergeCell ref="H20:I20"/>
    <mergeCell ref="H18:I19"/>
    <mergeCell ref="D41:E41"/>
    <mergeCell ref="F41:G41"/>
    <mergeCell ref="H41:I41"/>
    <mergeCell ref="H37:I37"/>
    <mergeCell ref="H38:I38"/>
    <mergeCell ref="H39:I39"/>
    <mergeCell ref="H40:I40"/>
    <mergeCell ref="D37:E37"/>
    <mergeCell ref="D38:E38"/>
    <mergeCell ref="D39:E39"/>
    <mergeCell ref="D40:E40"/>
    <mergeCell ref="F38:G38"/>
    <mergeCell ref="F39:G39"/>
    <mergeCell ref="F40:G40"/>
    <mergeCell ref="F37:G37"/>
    <mergeCell ref="C92:I92"/>
    <mergeCell ref="D77:F77"/>
    <mergeCell ref="H43:I43"/>
    <mergeCell ref="D42:E42"/>
    <mergeCell ref="F42:G42"/>
    <mergeCell ref="D43:E43"/>
    <mergeCell ref="F43:G43"/>
    <mergeCell ref="H42:I42"/>
    <mergeCell ref="D79:F79"/>
    <mergeCell ref="D80:F80"/>
    <mergeCell ref="D73:F73"/>
    <mergeCell ref="D74:F74"/>
    <mergeCell ref="A88:H88"/>
    <mergeCell ref="D75:F75"/>
    <mergeCell ref="D76:F76"/>
    <mergeCell ref="A84:H84"/>
    <mergeCell ref="A1:C1"/>
    <mergeCell ref="C4:D4"/>
    <mergeCell ref="D8:E8"/>
    <mergeCell ref="K10:L10"/>
    <mergeCell ref="K11:L11"/>
    <mergeCell ref="H1:I1"/>
    <mergeCell ref="C5:E5"/>
    <mergeCell ref="F5:I5"/>
  </mergeCells>
  <phoneticPr fontId="0" type="noConversion"/>
  <conditionalFormatting sqref="H24:H31">
    <cfRule type="cellIs" dxfId="461" priority="16" stopIfTrue="1" operator="equal">
      <formula>0</formula>
    </cfRule>
  </conditionalFormatting>
  <conditionalFormatting sqref="H15:I15 H14">
    <cfRule type="expression" dxfId="460" priority="17" stopIfTrue="1">
      <formula>$L$12&lt;&gt;""</formula>
    </cfRule>
    <cfRule type="cellIs" dxfId="459" priority="18" stopIfTrue="1" operator="greaterThan">
      <formula>""""""</formula>
    </cfRule>
  </conditionalFormatting>
  <conditionalFormatting sqref="D41:I43">
    <cfRule type="containsErrors" dxfId="458" priority="15">
      <formula>ISERROR(D41)</formula>
    </cfRule>
  </conditionalFormatting>
  <conditionalFormatting sqref="H10:I10">
    <cfRule type="cellIs" dxfId="457" priority="14" operator="equal">
      <formula>""""""</formula>
    </cfRule>
  </conditionalFormatting>
  <conditionalFormatting sqref="I23:I32">
    <cfRule type="containsErrors" dxfId="456" priority="22">
      <formula>ISERROR(I23)</formula>
    </cfRule>
  </conditionalFormatting>
  <conditionalFormatting sqref="E32:F32 I32">
    <cfRule type="cellIs" dxfId="455" priority="12" operator="equal">
      <formula>0</formula>
    </cfRule>
  </conditionalFormatting>
  <conditionalFormatting sqref="F37:G39">
    <cfRule type="cellIs" dxfId="454" priority="11" operator="equal">
      <formula>0</formula>
    </cfRule>
  </conditionalFormatting>
  <conditionalFormatting sqref="F40:G40">
    <cfRule type="cellIs" dxfId="453" priority="10" operator="equal">
      <formula>0</formula>
    </cfRule>
  </conditionalFormatting>
  <conditionalFormatting sqref="H37:I37">
    <cfRule type="containsErrors" dxfId="452" priority="21">
      <formula>ISERROR(H37)</formula>
    </cfRule>
  </conditionalFormatting>
  <conditionalFormatting sqref="H38:I38">
    <cfRule type="containsErrors" dxfId="451" priority="20">
      <formula>ISERROR(H38)</formula>
    </cfRule>
  </conditionalFormatting>
  <conditionalFormatting sqref="I33">
    <cfRule type="containsErrors" dxfId="450" priority="7">
      <formula>ISERROR(I33)</formula>
    </cfRule>
  </conditionalFormatting>
  <conditionalFormatting sqref="H40:I40">
    <cfRule type="containsErrors" dxfId="449" priority="6">
      <formula>ISERROR(H40)</formula>
    </cfRule>
  </conditionalFormatting>
  <conditionalFormatting sqref="F33">
    <cfRule type="cellIs" dxfId="448" priority="5" operator="equal">
      <formula>0</formula>
    </cfRule>
  </conditionalFormatting>
  <conditionalFormatting sqref="D32">
    <cfRule type="cellIs" dxfId="447" priority="4" operator="equal">
      <formula>0</formula>
    </cfRule>
  </conditionalFormatting>
  <conditionalFormatting sqref="D33">
    <cfRule type="cellIs" dxfId="446" priority="3" operator="equal">
      <formula>0</formula>
    </cfRule>
  </conditionalFormatting>
  <conditionalFormatting sqref="G32">
    <cfRule type="cellIs" dxfId="445" priority="2" operator="equal">
      <formula>0</formula>
    </cfRule>
  </conditionalFormatting>
  <conditionalFormatting sqref="G33">
    <cfRule type="cellIs" dxfId="444" priority="1" operator="equal">
      <formula>0</formula>
    </cfRule>
  </conditionalFormatting>
  <dataValidations xWindow="625" yWindow="407" count="3">
    <dataValidation type="list" allowBlank="1" sqref="J6">
      <formula1>"Herr,Frau"</formula1>
    </dataValidation>
    <dataValidation type="list" allowBlank="1" showInputMessage="1" showErrorMessage="1" sqref="L12">
      <formula1>"  ,ja,nein"</formula1>
    </dataValidation>
    <dataValidation type="list" allowBlank="1" showInputMessage="1" showErrorMessage="1" sqref="L15 L13">
      <formula1>"ja,nein"</formula1>
    </dataValidation>
  </dataValidations>
  <printOptions horizontalCentered="1" gridLinesSet="0"/>
  <pageMargins left="0.59055118110236227" right="0.27559055118110237" top="0.23622047244094491" bottom="0.43307086614173229" header="0.23622047244094491" footer="0.23622047244094491"/>
  <pageSetup paperSize="9" scale="83" orientation="portrait" horizontalDpi="4294967292" verticalDpi="300" r:id="rId1"/>
  <headerFooter alignWithMargins="0">
    <oddFooter xml:space="preserve">&amp;C&amp;8Seite - &amp;P -&amp;R&amp;8
</oddFooter>
  </headerFooter>
  <rowBreaks count="1" manualBreakCount="1">
    <brk id="70" max="8"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3">
    <pageSetUpPr fitToPage="1"/>
  </sheetPr>
  <dimension ref="A1:AA40"/>
  <sheetViews>
    <sheetView showGridLines="0" showWhiteSpace="0" zoomScaleNormal="100" workbookViewId="0"/>
  </sheetViews>
  <sheetFormatPr baseColWidth="10" defaultColWidth="11.42578125" defaultRowHeight="12.75"/>
  <cols>
    <col min="1" max="1" width="3" style="1624" customWidth="1"/>
    <col min="2" max="2" width="25.7109375" style="400" customWidth="1"/>
    <col min="3" max="3" width="11.42578125" style="400" customWidth="1"/>
    <col min="4" max="8" width="11.5703125" style="400" customWidth="1"/>
    <col min="9" max="9" width="14.7109375" style="400" customWidth="1"/>
    <col min="10" max="10" width="12.85546875" style="1659" customWidth="1"/>
    <col min="11" max="13" width="12" style="400" customWidth="1"/>
    <col min="14" max="16" width="11.42578125" style="400"/>
    <col min="17" max="17" width="13.140625" style="400" bestFit="1" customWidth="1"/>
    <col min="18" max="16384" width="11.42578125" style="400"/>
  </cols>
  <sheetData>
    <row r="1" spans="1:16" ht="19.5" customHeight="1" thickBot="1">
      <c r="A1" s="1638"/>
      <c r="B1" s="1639" t="s">
        <v>30</v>
      </c>
      <c r="J1" s="1640"/>
      <c r="K1" s="1641"/>
    </row>
    <row r="2" spans="1:16" ht="19.5" customHeight="1">
      <c r="A2" s="1638"/>
      <c r="B2" s="1642"/>
      <c r="C2" s="1643">
        <f>H2-E2+1</f>
        <v>365</v>
      </c>
      <c r="D2" s="1644" t="s">
        <v>218</v>
      </c>
      <c r="E2" s="1645" t="str">
        <f>CONCATENATE("01.01.",RIGHT('Seite 1'!D36,4))</f>
        <v>01.01.2023</v>
      </c>
      <c r="F2" s="1646"/>
      <c r="G2" s="1646" t="s">
        <v>21</v>
      </c>
      <c r="H2" s="1647" t="str">
        <f>CONCATENATE("31.12.",RIGHT('Seite 1'!D36,4))</f>
        <v>31.12.2023</v>
      </c>
      <c r="I2" s="1648"/>
      <c r="J2" s="1649">
        <f>_xlfn.DAYS(H2,E2-1)</f>
        <v>365</v>
      </c>
      <c r="K2" s="461"/>
      <c r="L2" s="406" t="s">
        <v>1193</v>
      </c>
      <c r="P2" s="1650" t="e">
        <f>((F5*0.78)+(F6*1)+(F7*1.64)+(F8*2.31)+(F9*2.6))/BT_abgel*100</f>
        <v>#VALUE!</v>
      </c>
    </row>
    <row r="3" spans="1:16" ht="45">
      <c r="A3" s="1638"/>
      <c r="B3" s="1651"/>
      <c r="C3" s="401"/>
      <c r="D3" s="1652" t="s">
        <v>886</v>
      </c>
      <c r="E3" s="1652" t="s">
        <v>885</v>
      </c>
      <c r="F3" s="1653" t="s">
        <v>887</v>
      </c>
      <c r="G3" s="1652" t="s">
        <v>31</v>
      </c>
      <c r="H3" s="1652" t="s">
        <v>1426</v>
      </c>
      <c r="I3" s="1654" t="s">
        <v>889</v>
      </c>
      <c r="J3" s="1655"/>
    </row>
    <row r="4" spans="1:16" ht="19.5" customHeight="1">
      <c r="A4" s="1638"/>
      <c r="B4" s="1656" t="s">
        <v>764</v>
      </c>
      <c r="C4" s="1605">
        <f>'Copy &amp; Paste'!C44</f>
        <v>0</v>
      </c>
      <c r="D4" s="1657">
        <v>1</v>
      </c>
      <c r="E4" s="1657">
        <v>2</v>
      </c>
      <c r="F4" s="1657">
        <v>3</v>
      </c>
      <c r="G4" s="1657">
        <v>4</v>
      </c>
      <c r="H4" s="1657">
        <v>5</v>
      </c>
      <c r="I4" s="1658">
        <v>6</v>
      </c>
    </row>
    <row r="5" spans="1:16" ht="16.5" customHeight="1">
      <c r="A5" s="1638">
        <v>22</v>
      </c>
      <c r="B5" s="1660" t="str">
        <f>'Copy &amp; Paste'!B45</f>
        <v>Pflegegrad 1</v>
      </c>
      <c r="C5" s="403"/>
      <c r="D5" s="1661">
        <f>IF('Copy &amp; Paste'!D45="",0,'Copy &amp; Paste'!D45)</f>
        <v>0</v>
      </c>
      <c r="E5" s="1661">
        <f>IF('Copy &amp; Paste'!E45="",0,'Copy &amp; Paste'!E45)</f>
        <v>0</v>
      </c>
      <c r="F5" s="1662">
        <f>IF(D5="","",D5+(E5*0.75))</f>
        <v>0</v>
      </c>
      <c r="G5" s="1663">
        <f>IF(F5="","",(D5+E5)/VLOOKUP('Copy &amp; Paste'!$D$43,Schaltjahr2,2))</f>
        <v>0</v>
      </c>
      <c r="H5" s="1664" t="e">
        <f>IF(F5="","",G5/G$11)</f>
        <v>#VALUE!</v>
      </c>
      <c r="I5" s="1665">
        <f>'Copy &amp; Paste'!F45+('Copy &amp; Paste'!G45*Gewicht)</f>
        <v>0</v>
      </c>
    </row>
    <row r="6" spans="1:16" ht="16.5" customHeight="1">
      <c r="A6" s="1638">
        <v>23</v>
      </c>
      <c r="B6" s="1660" t="str">
        <f>'Copy &amp; Paste'!B46</f>
        <v>Pflegegrad 2</v>
      </c>
      <c r="C6" s="403"/>
      <c r="D6" s="1661">
        <f>IF('Copy &amp; Paste'!D46="",0,'Copy &amp; Paste'!D46)</f>
        <v>0</v>
      </c>
      <c r="E6" s="1661">
        <f>IF('Copy &amp; Paste'!E46="",0,'Copy &amp; Paste'!E46)</f>
        <v>0</v>
      </c>
      <c r="F6" s="1662">
        <f t="shared" ref="F6:F9" si="0">IF(D6="","",D6+(E6*0.75))</f>
        <v>0</v>
      </c>
      <c r="G6" s="1663">
        <f>IF(F6="","",(D6+E6)/VLOOKUP('Copy &amp; Paste'!$D$43,Schaltjahr2,2))</f>
        <v>0</v>
      </c>
      <c r="H6" s="1664" t="e">
        <f t="shared" ref="H6:H10" si="1">IF(F6="","",G6/G$11)</f>
        <v>#VALUE!</v>
      </c>
      <c r="I6" s="1666">
        <f>'Copy &amp; Paste'!F46+('Copy &amp; Paste'!G46*Gewicht)</f>
        <v>0</v>
      </c>
      <c r="J6" s="1667"/>
    </row>
    <row r="7" spans="1:16" ht="16.5" customHeight="1">
      <c r="A7" s="1638">
        <v>24</v>
      </c>
      <c r="B7" s="1660" t="str">
        <f>'Copy &amp; Paste'!B47</f>
        <v>Pflegegrad 3</v>
      </c>
      <c r="C7" s="403"/>
      <c r="D7" s="1661">
        <f>IF('Copy &amp; Paste'!D47="",0,'Copy &amp; Paste'!D47)</f>
        <v>0</v>
      </c>
      <c r="E7" s="1661">
        <f>IF('Copy &amp; Paste'!E47="",0,'Copy &amp; Paste'!E47)</f>
        <v>0</v>
      </c>
      <c r="F7" s="1662">
        <f t="shared" si="0"/>
        <v>0</v>
      </c>
      <c r="G7" s="1663">
        <f>IF(F7="","",(D7+E7)/VLOOKUP('Copy &amp; Paste'!$D$43,Schaltjahr2,2))</f>
        <v>0</v>
      </c>
      <c r="H7" s="1664" t="e">
        <f t="shared" si="1"/>
        <v>#VALUE!</v>
      </c>
      <c r="I7" s="1666">
        <f>'Copy &amp; Paste'!F47+('Copy &amp; Paste'!G47*Gewicht)</f>
        <v>0</v>
      </c>
      <c r="J7" s="1667"/>
    </row>
    <row r="8" spans="1:16" ht="16.5" customHeight="1">
      <c r="A8" s="1638">
        <v>25</v>
      </c>
      <c r="B8" s="1660" t="str">
        <f>'Copy &amp; Paste'!B48</f>
        <v>Pflegegrad 4</v>
      </c>
      <c r="C8" s="403"/>
      <c r="D8" s="1661">
        <f>IF('Copy &amp; Paste'!D48="",0,'Copy &amp; Paste'!D48)</f>
        <v>0</v>
      </c>
      <c r="E8" s="1661">
        <f>IF('Copy &amp; Paste'!E48="",0,'Copy &amp; Paste'!E48)</f>
        <v>0</v>
      </c>
      <c r="F8" s="1662">
        <f t="shared" si="0"/>
        <v>0</v>
      </c>
      <c r="G8" s="1663">
        <f>IF(F8="","",(D8+E8)/VLOOKUP('Copy &amp; Paste'!$D$43,Schaltjahr2,2))</f>
        <v>0</v>
      </c>
      <c r="H8" s="1664" t="e">
        <f t="shared" si="1"/>
        <v>#VALUE!</v>
      </c>
      <c r="I8" s="1666">
        <f>'Copy &amp; Paste'!F48+('Copy &amp; Paste'!G48*Gewicht)</f>
        <v>0</v>
      </c>
      <c r="J8" s="1667"/>
    </row>
    <row r="9" spans="1:16" ht="16.5" customHeight="1">
      <c r="A9" s="1638">
        <v>26</v>
      </c>
      <c r="B9" s="1660" t="str">
        <f>'Copy &amp; Paste'!B49</f>
        <v>Pflegegrad 5</v>
      </c>
      <c r="C9" s="403"/>
      <c r="D9" s="1661">
        <f>IF('Copy &amp; Paste'!D49="",0,'Copy &amp; Paste'!D49)</f>
        <v>0</v>
      </c>
      <c r="E9" s="1661">
        <f>IF('Copy &amp; Paste'!E49="",0,'Copy &amp; Paste'!E49)</f>
        <v>0</v>
      </c>
      <c r="F9" s="1662">
        <f t="shared" si="0"/>
        <v>0</v>
      </c>
      <c r="G9" s="1663">
        <f>IF(F9="","",(D9+E9)/VLOOKUP('Copy &amp; Paste'!$D$43,Schaltjahr2,2))</f>
        <v>0</v>
      </c>
      <c r="H9" s="1664" t="e">
        <f t="shared" si="1"/>
        <v>#VALUE!</v>
      </c>
      <c r="I9" s="1666">
        <f>'Copy &amp; Paste'!F49+('Copy &amp; Paste'!G49*Gewicht)</f>
        <v>0</v>
      </c>
      <c r="J9" s="1667"/>
    </row>
    <row r="10" spans="1:16" ht="16.5" customHeight="1" thickBot="1">
      <c r="A10" s="1638">
        <v>27</v>
      </c>
      <c r="B10" s="1668" t="str">
        <f>IF('Copy &amp; Paste'!D43&gt;=2017,"","Härtefälle")</f>
        <v/>
      </c>
      <c r="C10" s="1669"/>
      <c r="D10" s="1661">
        <f>IF('Copy &amp; Paste'!D50="",0,'Copy &amp; Paste'!D50)</f>
        <v>0</v>
      </c>
      <c r="E10" s="1661">
        <f>IF('Copy &amp; Paste'!E50="",0,'Copy &amp; Paste'!E50)</f>
        <v>0</v>
      </c>
      <c r="F10" s="1662">
        <f t="shared" ref="F10" si="2">IF(D10="","",D10+E10*0.75)</f>
        <v>0</v>
      </c>
      <c r="G10" s="1663">
        <f>IF(F10="","",(D10+E10)/VLOOKUP('Copy &amp; Paste'!$D$43,Schaltjahr2,2))</f>
        <v>0</v>
      </c>
      <c r="H10" s="1664" t="e">
        <f t="shared" si="1"/>
        <v>#VALUE!</v>
      </c>
      <c r="I10" s="1666">
        <f>'Copy &amp; Paste'!F50+('Copy &amp; Paste'!G50*Gewicht)</f>
        <v>0</v>
      </c>
    </row>
    <row r="11" spans="1:16" ht="16.5" customHeight="1" thickBot="1">
      <c r="A11" s="1638">
        <v>28</v>
      </c>
      <c r="B11" s="1670" t="s">
        <v>32</v>
      </c>
      <c r="C11" s="1671"/>
      <c r="D11" s="1672" t="str">
        <f t="shared" ref="D11:I11" si="3">IF(SUM(D5:D10)=0,"",(SUM(D5:D10)))</f>
        <v/>
      </c>
      <c r="E11" s="1672" t="str">
        <f t="shared" si="3"/>
        <v/>
      </c>
      <c r="F11" s="1672" t="str">
        <f t="shared" si="3"/>
        <v/>
      </c>
      <c r="G11" s="1673" t="str">
        <f t="shared" si="3"/>
        <v/>
      </c>
      <c r="H11" s="1674" t="e">
        <f t="shared" si="3"/>
        <v>#VALUE!</v>
      </c>
      <c r="I11" s="1675" t="str">
        <f t="shared" si="3"/>
        <v/>
      </c>
    </row>
    <row r="12" spans="1:16" ht="16.5" customHeight="1" thickBot="1">
      <c r="A12" s="1638">
        <v>29</v>
      </c>
      <c r="B12" s="1676" t="s">
        <v>33</v>
      </c>
      <c r="C12" s="1677"/>
      <c r="D12" s="1678" t="e">
        <f>(D11+IF(E11="",0,E11))/(C4*IF(J2&gt;364,VLOOKUP('Copy &amp; Paste'!D43,Schaltjahr2,2),J2))</f>
        <v>#VALUE!</v>
      </c>
      <c r="E12" s="1679"/>
      <c r="F12" s="1680"/>
      <c r="G12" s="1681"/>
      <c r="H12" s="1682" t="s">
        <v>34</v>
      </c>
      <c r="I12" s="1683" t="str">
        <f>IF(SUM(D5:D9)=0,"",IF(SUM(E5:E9)=0,0,E11/(D11+E11)))</f>
        <v/>
      </c>
    </row>
    <row r="13" spans="1:16" ht="33" customHeight="1" thickBot="1">
      <c r="A13" s="1638"/>
      <c r="B13" s="4324" t="s">
        <v>777</v>
      </c>
      <c r="C13" s="4325"/>
      <c r="D13" s="1684" t="str">
        <f>IF('Copy &amp; Paste'!D51="","",'Copy &amp; Paste'!D51)</f>
        <v/>
      </c>
      <c r="E13" s="1685">
        <f>IF('Copy &amp; Paste'!E51="",0,'Copy &amp; Paste'!E51)</f>
        <v>0</v>
      </c>
      <c r="F13" s="1686" t="str">
        <f>IF(D13="","",D13+(E13*0.75))</f>
        <v/>
      </c>
      <c r="G13" s="1687" t="str">
        <f>IF(D13="","",(D13+E13)/VLOOKUP('Copy &amp; Paste'!$D$43,Schaltjahr2,2))</f>
        <v/>
      </c>
      <c r="H13" s="1688" t="str">
        <f>IF(F13="","",G13/G11)</f>
        <v/>
      </c>
      <c r="I13" s="1689"/>
    </row>
    <row r="14" spans="1:16" ht="16.5" customHeight="1" thickBot="1">
      <c r="A14" s="1638"/>
      <c r="E14" s="1690"/>
      <c r="F14" s="1080"/>
      <c r="G14" s="1080"/>
    </row>
    <row r="15" spans="1:16" ht="19.5" customHeight="1">
      <c r="A15" s="1638"/>
      <c r="B15" s="1691" t="s">
        <v>764</v>
      </c>
      <c r="C15" s="1692">
        <f>'Copy &amp; Paste'!C53</f>
        <v>0</v>
      </c>
      <c r="D15" s="1693">
        <f>H15-E15+1</f>
        <v>366</v>
      </c>
      <c r="E15" s="1694">
        <f>H2+1</f>
        <v>45292</v>
      </c>
      <c r="F15" s="1695"/>
      <c r="G15" s="1695"/>
      <c r="H15" s="1696" t="str">
        <f>CONCATENATE("31.12.",LEFT('Seite 1'!F36,4))</f>
        <v>31.12.2024</v>
      </c>
      <c r="I15" s="1697"/>
      <c r="J15" s="1595"/>
    </row>
    <row r="16" spans="1:16" ht="45">
      <c r="A16" s="1638">
        <v>30</v>
      </c>
      <c r="B16" s="4331" t="str">
        <f>IF('Copy &amp; Paste'!C54&lt;&gt;12,"Anzahl Monate mit Ist-Belegung und Grundlage für Hochrechnung:
 "&amp;'Copy &amp; Paste'!C54&amp;" Monat(e)","Ist-Belegung: 12 Monate")</f>
        <v>Anzahl Monate mit Ist-Belegung und Grundlage für Hochrechnung:
  Monat(e)</v>
      </c>
      <c r="C16" s="4332"/>
      <c r="D16" s="1653" t="s">
        <v>886</v>
      </c>
      <c r="E16" s="1653" t="s">
        <v>885</v>
      </c>
      <c r="F16" s="1653" t="s">
        <v>887</v>
      </c>
      <c r="G16" s="1653" t="s">
        <v>31</v>
      </c>
      <c r="H16" s="1653" t="s">
        <v>1426</v>
      </c>
      <c r="I16" s="1698" t="s">
        <v>889</v>
      </c>
      <c r="J16" s="1699"/>
      <c r="P16" s="1650" t="e">
        <f>((F18*0.78)+(F19*1)+(F20*1.64)+(F21*2.31)+(F22*2.6))/BT_lfd*100</f>
        <v>#VALUE!</v>
      </c>
    </row>
    <row r="17" spans="1:27" ht="12.75" customHeight="1">
      <c r="A17" s="1638"/>
      <c r="B17" s="1651"/>
      <c r="C17" s="401"/>
      <c r="D17" s="1657">
        <v>1</v>
      </c>
      <c r="E17" s="1657">
        <v>2</v>
      </c>
      <c r="F17" s="1657">
        <v>3</v>
      </c>
      <c r="G17" s="1657">
        <v>4</v>
      </c>
      <c r="H17" s="1657">
        <v>5</v>
      </c>
      <c r="I17" s="1658">
        <v>6</v>
      </c>
      <c r="J17" s="1595"/>
    </row>
    <row r="18" spans="1:27" ht="16.5" customHeight="1">
      <c r="A18" s="1638">
        <v>31</v>
      </c>
      <c r="B18" s="1660" t="str">
        <f>'Copy &amp; Paste'!B55</f>
        <v>Pflegegrad 1</v>
      </c>
      <c r="C18" s="403"/>
      <c r="D18" s="1661">
        <f>IF('Copy &amp; Paste'!D55="",0,'Copy &amp; Paste'!D55)</f>
        <v>0</v>
      </c>
      <c r="E18" s="1661">
        <f>IF('Copy &amp; Paste'!E55="",0,'Copy &amp; Paste'!E55)</f>
        <v>0</v>
      </c>
      <c r="F18" s="1662">
        <f>IF(D18="","",D18+(E18*0.75))</f>
        <v>0</v>
      </c>
      <c r="G18" s="1663">
        <f>IF(F18="","",(D18+E18)/VLOOKUP('Copy &amp; Paste'!$D$53,Schaltjahr2,2))</f>
        <v>0</v>
      </c>
      <c r="H18" s="1664" t="e">
        <f>IF(F18="","",G18/G$24)</f>
        <v>#VALUE!</v>
      </c>
      <c r="I18" s="1665">
        <f>'Copy &amp; Paste'!F55+('Copy &amp; Paste'!G55*Gewicht)</f>
        <v>0</v>
      </c>
      <c r="J18" s="1595"/>
    </row>
    <row r="19" spans="1:27" ht="16.5" customHeight="1">
      <c r="A19" s="1638">
        <v>32</v>
      </c>
      <c r="B19" s="1660" t="str">
        <f>'Copy &amp; Paste'!B56</f>
        <v>Pflegegrad 2</v>
      </c>
      <c r="C19" s="403"/>
      <c r="D19" s="1661">
        <f>IF('Copy &amp; Paste'!D56="",0,'Copy &amp; Paste'!D56)</f>
        <v>0</v>
      </c>
      <c r="E19" s="1661">
        <f>IF('Copy &amp; Paste'!E56="",0,'Copy &amp; Paste'!E56)</f>
        <v>0</v>
      </c>
      <c r="F19" s="1662">
        <f t="shared" ref="F19:F22" si="4">IF(D19="","",D19+(E19*0.75))</f>
        <v>0</v>
      </c>
      <c r="G19" s="1663">
        <f>IF(F19="","",(D19+E19)/VLOOKUP('Copy &amp; Paste'!$D$53,Schaltjahr2,2))</f>
        <v>0</v>
      </c>
      <c r="H19" s="1664" t="e">
        <f t="shared" ref="H19:H23" si="5">IF(F19="","",G19/G$24)</f>
        <v>#VALUE!</v>
      </c>
      <c r="I19" s="1700">
        <f>'Copy &amp; Paste'!F56+('Copy &amp; Paste'!G56*Gewicht)</f>
        <v>0</v>
      </c>
      <c r="J19" s="1701" t="str">
        <f>IF('Copy &amp; Paste'!G56="","",'Copy &amp; Paste'!G56)</f>
        <v/>
      </c>
    </row>
    <row r="20" spans="1:27" ht="16.5" customHeight="1">
      <c r="A20" s="1638">
        <v>33</v>
      </c>
      <c r="B20" s="1660" t="str">
        <f>'Copy &amp; Paste'!B57</f>
        <v>Pflegegrad 3</v>
      </c>
      <c r="C20" s="403"/>
      <c r="D20" s="1661">
        <f>IF('Copy &amp; Paste'!D57="",0,'Copy &amp; Paste'!D57)</f>
        <v>0</v>
      </c>
      <c r="E20" s="1661">
        <f>IF('Copy &amp; Paste'!E57="",0,'Copy &amp; Paste'!E57)</f>
        <v>0</v>
      </c>
      <c r="F20" s="1662">
        <f t="shared" si="4"/>
        <v>0</v>
      </c>
      <c r="G20" s="1663">
        <f>IF(F20="","",(D20+E20)/VLOOKUP('Copy &amp; Paste'!$D$53,Schaltjahr2,2))</f>
        <v>0</v>
      </c>
      <c r="H20" s="1664" t="e">
        <f t="shared" si="5"/>
        <v>#VALUE!</v>
      </c>
      <c r="I20" s="1700">
        <f>'Copy &amp; Paste'!F57+('Copy &amp; Paste'!G57*Gewicht)</f>
        <v>0</v>
      </c>
      <c r="J20" s="1701" t="str">
        <f>IF('Copy &amp; Paste'!G57="","",'Copy &amp; Paste'!G57)</f>
        <v/>
      </c>
    </row>
    <row r="21" spans="1:27" ht="16.5" customHeight="1">
      <c r="A21" s="1638">
        <v>34</v>
      </c>
      <c r="B21" s="1660" t="str">
        <f>'Copy &amp; Paste'!B58</f>
        <v>Pflegegrad 4</v>
      </c>
      <c r="C21" s="403"/>
      <c r="D21" s="1661">
        <f>IF('Copy &amp; Paste'!D58="",0,'Copy &amp; Paste'!D58)</f>
        <v>0</v>
      </c>
      <c r="E21" s="1661">
        <f>IF('Copy &amp; Paste'!E58="",0,'Copy &amp; Paste'!E58)</f>
        <v>0</v>
      </c>
      <c r="F21" s="1662">
        <f t="shared" si="4"/>
        <v>0</v>
      </c>
      <c r="G21" s="1663">
        <f>IF(F21="","",(D21+E21)/VLOOKUP('Copy &amp; Paste'!$D$53,Schaltjahr2,2))</f>
        <v>0</v>
      </c>
      <c r="H21" s="1664" t="e">
        <f t="shared" si="5"/>
        <v>#VALUE!</v>
      </c>
      <c r="I21" s="1700">
        <f>'Copy &amp; Paste'!F58+('Copy &amp; Paste'!G58*Gewicht)</f>
        <v>0</v>
      </c>
      <c r="J21" s="1701" t="str">
        <f>IF('Copy &amp; Paste'!G58="","",'Copy &amp; Paste'!G58)</f>
        <v/>
      </c>
    </row>
    <row r="22" spans="1:27" ht="16.5" customHeight="1">
      <c r="A22" s="1638">
        <v>35</v>
      </c>
      <c r="B22" s="1660" t="str">
        <f>'Copy &amp; Paste'!B59</f>
        <v>Pflegegrad 5</v>
      </c>
      <c r="C22" s="403"/>
      <c r="D22" s="1661">
        <f>IF('Copy &amp; Paste'!D59="",0,'Copy &amp; Paste'!D59)</f>
        <v>0</v>
      </c>
      <c r="E22" s="1661">
        <f>IF('Copy &amp; Paste'!E59="",0,'Copy &amp; Paste'!E59)</f>
        <v>0</v>
      </c>
      <c r="F22" s="1662">
        <f t="shared" si="4"/>
        <v>0</v>
      </c>
      <c r="G22" s="1663">
        <f>IF(F22="","",(D22+E22)/VLOOKUP('Copy &amp; Paste'!$D$53,Schaltjahr2,2))</f>
        <v>0</v>
      </c>
      <c r="H22" s="1664" t="e">
        <f t="shared" si="5"/>
        <v>#VALUE!</v>
      </c>
      <c r="I22" s="1700">
        <f>'Copy &amp; Paste'!F59+('Copy &amp; Paste'!G59*Gewicht)</f>
        <v>0</v>
      </c>
      <c r="J22" s="1701" t="str">
        <f>IF('Copy &amp; Paste'!G59="","",'Copy &amp; Paste'!G59)</f>
        <v/>
      </c>
    </row>
    <row r="23" spans="1:27" ht="16.5" customHeight="1" thickBot="1">
      <c r="A23" s="1638">
        <v>36</v>
      </c>
      <c r="B23" s="1668" t="str">
        <f>IF('Copy &amp; Paste'!D53&gt;=2017,"","Härtefälle")</f>
        <v/>
      </c>
      <c r="C23" s="1669"/>
      <c r="D23" s="1661">
        <f>IF('Copy &amp; Paste'!D60="",0,'Copy &amp; Paste'!D60)</f>
        <v>0</v>
      </c>
      <c r="E23" s="1661">
        <f>IF('Copy &amp; Paste'!E60="",0,'Copy &amp; Paste'!E60)</f>
        <v>0</v>
      </c>
      <c r="F23" s="1702">
        <f>IF(D23="","",D23+E23*0.75)</f>
        <v>0</v>
      </c>
      <c r="G23" s="1663">
        <f>IF(F23="","",(D23+E23)/VLOOKUP('Copy &amp; Paste'!$D$53,Schaltjahr2,2))</f>
        <v>0</v>
      </c>
      <c r="H23" s="1664" t="e">
        <f t="shared" si="5"/>
        <v>#VALUE!</v>
      </c>
      <c r="I23" s="1700">
        <f>'Copy &amp; Paste'!F60+('Copy &amp; Paste'!G60*Gewicht)</f>
        <v>0</v>
      </c>
      <c r="J23" s="1595"/>
    </row>
    <row r="24" spans="1:27" ht="16.5" customHeight="1" thickBot="1">
      <c r="A24" s="1638">
        <v>37</v>
      </c>
      <c r="B24" s="1670" t="s">
        <v>32</v>
      </c>
      <c r="C24" s="1671"/>
      <c r="D24" s="1672" t="str">
        <f t="shared" ref="D24:I24" si="6">IF(SUM(D18:D23)=0,"",(SUM(D18:D23)))</f>
        <v/>
      </c>
      <c r="E24" s="1672" t="str">
        <f t="shared" si="6"/>
        <v/>
      </c>
      <c r="F24" s="1672" t="str">
        <f t="shared" si="6"/>
        <v/>
      </c>
      <c r="G24" s="1673" t="str">
        <f t="shared" si="6"/>
        <v/>
      </c>
      <c r="H24" s="1674" t="e">
        <f t="shared" si="6"/>
        <v>#VALUE!</v>
      </c>
      <c r="I24" s="1675" t="str">
        <f t="shared" si="6"/>
        <v/>
      </c>
      <c r="J24" s="1595"/>
    </row>
    <row r="25" spans="1:27" ht="16.5" customHeight="1" thickBot="1">
      <c r="A25" s="1638">
        <v>38</v>
      </c>
      <c r="B25" s="1676" t="s">
        <v>33</v>
      </c>
      <c r="C25" s="1677"/>
      <c r="D25" s="1678" t="e">
        <f>(D24+IF(E24="",0,E24))/(C15*VLOOKUP('Copy &amp; Paste'!D53,Schaltjahr2,2))</f>
        <v>#VALUE!</v>
      </c>
      <c r="E25" s="1703">
        <v>1.5827</v>
      </c>
      <c r="F25" s="1704"/>
      <c r="G25" s="1681"/>
      <c r="H25" s="1682" t="s">
        <v>34</v>
      </c>
      <c r="I25" s="1683" t="str">
        <f>IF(SUM(D18:D22)=0,"",IF(SUM(E18:E22)=0,0,E24/(D24+E24)))</f>
        <v/>
      </c>
      <c r="J25" s="1595"/>
    </row>
    <row r="26" spans="1:27" ht="33" customHeight="1" thickBot="1">
      <c r="A26" s="1598"/>
      <c r="B26" s="4324" t="s">
        <v>777</v>
      </c>
      <c r="C26" s="4325"/>
      <c r="D26" s="1684" t="str">
        <f>IF('Copy &amp; Paste'!D61="","",'Copy &amp; Paste'!D61)</f>
        <v/>
      </c>
      <c r="E26" s="1705">
        <f>IF('Copy &amp; Paste'!E61="",0,'Copy &amp; Paste'!E61)</f>
        <v>0</v>
      </c>
      <c r="F26" s="1706" t="str">
        <f>IF(D26="","",D26+(E26*0.75))</f>
        <v/>
      </c>
      <c r="G26" s="1687" t="str">
        <f>IF(D26="","",(D26+E26)/VLOOKUP('Copy &amp; Paste'!$D$53,Schaltjahr2,2))</f>
        <v/>
      </c>
      <c r="H26" s="1688" t="str">
        <f>IF(F26="","",G26/G24)</f>
        <v/>
      </c>
      <c r="I26" s="1707"/>
    </row>
    <row r="27" spans="1:27" ht="12.75" customHeight="1" thickBot="1">
      <c r="A27" s="1638"/>
    </row>
    <row r="28" spans="1:27" ht="19.5" customHeight="1">
      <c r="A28" s="1598"/>
      <c r="B28" s="1708"/>
      <c r="C28" s="1546"/>
      <c r="D28" s="4322" t="str">
        <f>'Seite 1'!H36</f>
        <v>Vereinbarungszeitraum</v>
      </c>
      <c r="E28" s="4323"/>
      <c r="F28" s="4323"/>
      <c r="G28" s="1709" t="s">
        <v>35</v>
      </c>
      <c r="H28" s="1710"/>
      <c r="I28" s="1711"/>
      <c r="J28" s="4321"/>
      <c r="K28" s="4321"/>
      <c r="L28" s="4321"/>
      <c r="M28" s="4321"/>
      <c r="N28" s="4321"/>
      <c r="O28" s="3984"/>
      <c r="P28" s="3983"/>
      <c r="Q28" s="402"/>
    </row>
    <row r="29" spans="1:27" ht="35.25">
      <c r="A29" s="1598"/>
      <c r="B29" s="1651"/>
      <c r="C29" s="401"/>
      <c r="D29" s="1653" t="s">
        <v>886</v>
      </c>
      <c r="E29" s="1653" t="s">
        <v>885</v>
      </c>
      <c r="F29" s="1653" t="s">
        <v>887</v>
      </c>
      <c r="G29" s="1653" t="s">
        <v>31</v>
      </c>
      <c r="H29" s="1653" t="s">
        <v>1522</v>
      </c>
      <c r="I29" s="1712"/>
      <c r="J29" s="3989"/>
      <c r="K29" s="2973"/>
      <c r="L29" s="2973"/>
      <c r="M29" s="2973"/>
      <c r="N29" s="2973"/>
      <c r="O29" s="2973"/>
      <c r="P29" s="2973"/>
      <c r="Q29" s="402"/>
      <c r="AA29" s="400" t="e">
        <f>((F31*0.78)+(F32*1)+(F33*1.64)+(F34*2.31)+(F35*2.6))/BT_pros*100</f>
        <v>#VALUE!</v>
      </c>
    </row>
    <row r="30" spans="1:27" ht="19.5" customHeight="1">
      <c r="A30" s="1598"/>
      <c r="B30" s="1656" t="s">
        <v>764</v>
      </c>
      <c r="C30" s="1605">
        <f>'Copy &amp; Paste'!C65</f>
        <v>0</v>
      </c>
      <c r="D30" s="1657">
        <v>1</v>
      </c>
      <c r="E30" s="1657">
        <v>2</v>
      </c>
      <c r="F30" s="1657">
        <v>3</v>
      </c>
      <c r="G30" s="1657">
        <v>4</v>
      </c>
      <c r="H30" s="1657">
        <v>5</v>
      </c>
      <c r="I30" s="1658">
        <v>6</v>
      </c>
      <c r="J30" s="2574"/>
      <c r="K30" s="2973"/>
      <c r="L30" s="2973"/>
      <c r="M30" s="2973"/>
      <c r="N30" s="2973"/>
      <c r="O30" s="2973"/>
      <c r="P30" s="2973"/>
      <c r="Q30" s="402"/>
    </row>
    <row r="31" spans="1:27" ht="16.5" customHeight="1">
      <c r="A31" s="1598">
        <v>39</v>
      </c>
      <c r="B31" s="1660" t="str">
        <f>'Copy &amp; Paste'!B66</f>
        <v>Pflegegrad 1</v>
      </c>
      <c r="C31" s="403"/>
      <c r="D31" s="1661">
        <f>IF('Copy &amp; Paste'!D66="",0,'Copy &amp; Paste'!D66)</f>
        <v>0</v>
      </c>
      <c r="E31" s="1661">
        <f>IF('Copy &amp; Paste'!E66="",0,'Copy &amp; Paste'!E66)</f>
        <v>0</v>
      </c>
      <c r="F31" s="1662">
        <f>IF(D31="","",D31+(E31*0.75))</f>
        <v>0</v>
      </c>
      <c r="G31" s="1663">
        <f t="shared" ref="G31:G35" si="7">IF(F31="","",(D31+(E31))/365)</f>
        <v>0</v>
      </c>
      <c r="H31" s="1664" t="e">
        <f>IF(F31="","",G31/G$37)</f>
        <v>#VALUE!</v>
      </c>
      <c r="I31" s="1713">
        <f>'Copy &amp; Paste'!F66+('Copy &amp; Paste'!G66*Gewicht)</f>
        <v>0</v>
      </c>
      <c r="J31" s="1080"/>
      <c r="K31" s="2471"/>
      <c r="L31" s="2471"/>
      <c r="M31" s="3990"/>
      <c r="N31" s="3991"/>
      <c r="O31" s="3992"/>
      <c r="P31" s="3993"/>
      <c r="Q31" s="402"/>
    </row>
    <row r="32" spans="1:27" ht="16.5" customHeight="1">
      <c r="A32" s="1598">
        <v>40</v>
      </c>
      <c r="B32" s="1660" t="str">
        <f>'Copy &amp; Paste'!B67</f>
        <v>Pflegegrad 2</v>
      </c>
      <c r="C32" s="403"/>
      <c r="D32" s="1661">
        <f>IF('Copy &amp; Paste'!D67="",0,'Copy &amp; Paste'!D67)</f>
        <v>0</v>
      </c>
      <c r="E32" s="1661">
        <f>IF('Copy &amp; Paste'!E67="",0,'Copy &amp; Paste'!E67)</f>
        <v>0</v>
      </c>
      <c r="F32" s="1662">
        <f t="shared" ref="F32:F35" si="8">IF(D32="","",D32+(E32*0.75))</f>
        <v>0</v>
      </c>
      <c r="G32" s="1663">
        <f t="shared" si="7"/>
        <v>0</v>
      </c>
      <c r="H32" s="1664" t="e">
        <f t="shared" ref="H32:H35" si="9">IF(F32="","",G32/G$37)</f>
        <v>#VALUE!</v>
      </c>
      <c r="I32" s="1713">
        <f>'Copy &amp; Paste'!F67+('Copy &amp; Paste'!G67*Gewicht)</f>
        <v>0</v>
      </c>
      <c r="J32" s="1080"/>
      <c r="K32" s="2471"/>
      <c r="L32" s="2471"/>
      <c r="M32" s="3990"/>
      <c r="N32" s="3991"/>
      <c r="O32" s="3992"/>
      <c r="P32" s="3993"/>
      <c r="Q32" s="402"/>
    </row>
    <row r="33" spans="1:17" ht="16.5" customHeight="1">
      <c r="A33" s="1598">
        <v>41</v>
      </c>
      <c r="B33" s="1660" t="str">
        <f>'Copy &amp; Paste'!B68</f>
        <v>Pflegegrad 3</v>
      </c>
      <c r="C33" s="403"/>
      <c r="D33" s="1661">
        <f>IF('Copy &amp; Paste'!D68="",0,'Copy &amp; Paste'!D68)</f>
        <v>0</v>
      </c>
      <c r="E33" s="1661">
        <f>IF('Copy &amp; Paste'!E68="",0,'Copy &amp; Paste'!E68)</f>
        <v>0</v>
      </c>
      <c r="F33" s="1662">
        <f t="shared" si="8"/>
        <v>0</v>
      </c>
      <c r="G33" s="1663">
        <f t="shared" si="7"/>
        <v>0</v>
      </c>
      <c r="H33" s="1664" t="e">
        <f t="shared" si="9"/>
        <v>#VALUE!</v>
      </c>
      <c r="I33" s="1713">
        <f>'Copy &amp; Paste'!F68+('Copy &amp; Paste'!G68*Gewicht)</f>
        <v>0</v>
      </c>
      <c r="J33" s="1080"/>
      <c r="K33" s="2471"/>
      <c r="L33" s="2471"/>
      <c r="M33" s="3990"/>
      <c r="N33" s="3991"/>
      <c r="O33" s="3992"/>
      <c r="P33" s="3993"/>
      <c r="Q33" s="402"/>
    </row>
    <row r="34" spans="1:17" ht="16.5" customHeight="1">
      <c r="A34" s="1598">
        <v>42</v>
      </c>
      <c r="B34" s="1660" t="str">
        <f>'Copy &amp; Paste'!B69</f>
        <v>Pflegegrad 4</v>
      </c>
      <c r="C34" s="403"/>
      <c r="D34" s="1661">
        <f>IF('Copy &amp; Paste'!D69="",0,'Copy &amp; Paste'!D69)</f>
        <v>0</v>
      </c>
      <c r="E34" s="1661">
        <f>IF('Copy &amp; Paste'!E69="",0,'Copy &amp; Paste'!E69)</f>
        <v>0</v>
      </c>
      <c r="F34" s="1662">
        <f t="shared" si="8"/>
        <v>0</v>
      </c>
      <c r="G34" s="1663">
        <f t="shared" si="7"/>
        <v>0</v>
      </c>
      <c r="H34" s="1664" t="e">
        <f t="shared" si="9"/>
        <v>#VALUE!</v>
      </c>
      <c r="I34" s="1713">
        <f>'Copy &amp; Paste'!F69+('Copy &amp; Paste'!G69*Gewicht)</f>
        <v>0</v>
      </c>
      <c r="J34" s="1080"/>
      <c r="K34" s="2471"/>
      <c r="L34" s="2471"/>
      <c r="M34" s="3990"/>
      <c r="N34" s="3991"/>
      <c r="O34" s="3992"/>
      <c r="P34" s="3993"/>
      <c r="Q34" s="402"/>
    </row>
    <row r="35" spans="1:17" ht="16.5" customHeight="1">
      <c r="A35" s="1598">
        <v>43</v>
      </c>
      <c r="B35" s="1660" t="str">
        <f>'Copy &amp; Paste'!B70</f>
        <v>Pflegegrad 5</v>
      </c>
      <c r="C35" s="403"/>
      <c r="D35" s="1661">
        <f>IF('Copy &amp; Paste'!D70="",0,'Copy &amp; Paste'!D70)</f>
        <v>0</v>
      </c>
      <c r="E35" s="1661">
        <f>IF('Copy &amp; Paste'!E70="",0,'Copy &amp; Paste'!E70)</f>
        <v>0</v>
      </c>
      <c r="F35" s="1662">
        <f t="shared" si="8"/>
        <v>0</v>
      </c>
      <c r="G35" s="1663">
        <f t="shared" si="7"/>
        <v>0</v>
      </c>
      <c r="H35" s="1664" t="e">
        <f t="shared" si="9"/>
        <v>#VALUE!</v>
      </c>
      <c r="I35" s="1713">
        <f>'Copy &amp; Paste'!F70+('Copy &amp; Paste'!G70*Gewicht)</f>
        <v>0</v>
      </c>
      <c r="J35" s="1080"/>
      <c r="K35" s="2471"/>
      <c r="L35" s="2471"/>
      <c r="M35" s="3990"/>
      <c r="N35" s="3991"/>
      <c r="O35" s="3992"/>
      <c r="P35" s="3993"/>
      <c r="Q35" s="402"/>
    </row>
    <row r="36" spans="1:17" ht="16.5" customHeight="1" thickBot="1">
      <c r="A36" s="1598">
        <v>44</v>
      </c>
      <c r="B36" s="1668"/>
      <c r="C36" s="1669"/>
      <c r="D36" s="1661"/>
      <c r="E36" s="1661"/>
      <c r="F36" s="1714"/>
      <c r="G36" s="1663"/>
      <c r="H36" s="1715"/>
      <c r="I36" s="1713"/>
      <c r="J36" s="3983"/>
      <c r="K36" s="2471"/>
      <c r="L36" s="2471"/>
      <c r="M36" s="3990"/>
      <c r="N36" s="3991"/>
      <c r="O36" s="3992"/>
      <c r="P36" s="3994"/>
      <c r="Q36" s="2574"/>
    </row>
    <row r="37" spans="1:17" ht="16.5" customHeight="1" thickBot="1">
      <c r="A37" s="1598">
        <v>45</v>
      </c>
      <c r="B37" s="1670" t="s">
        <v>32</v>
      </c>
      <c r="C37" s="1671"/>
      <c r="D37" s="1672" t="str">
        <f t="shared" ref="D37:I37" si="10">IF(SUM(D31:D35)=0,"",(SUM(D31:D35)))</f>
        <v/>
      </c>
      <c r="E37" s="1672" t="str">
        <f t="shared" si="10"/>
        <v/>
      </c>
      <c r="F37" s="1672" t="str">
        <f t="shared" si="10"/>
        <v/>
      </c>
      <c r="G37" s="1673" t="str">
        <f t="shared" si="10"/>
        <v/>
      </c>
      <c r="H37" s="1674" t="e">
        <f t="shared" si="10"/>
        <v>#VALUE!</v>
      </c>
      <c r="I37" s="1675" t="str">
        <f t="shared" si="10"/>
        <v/>
      </c>
      <c r="J37" s="2578"/>
      <c r="K37" s="3995"/>
      <c r="L37" s="3995"/>
      <c r="M37" s="3995"/>
      <c r="N37" s="3996"/>
      <c r="O37" s="3997"/>
      <c r="P37" s="3997"/>
      <c r="Q37" s="3998"/>
    </row>
    <row r="38" spans="1:17" ht="16.5" customHeight="1">
      <c r="A38" s="1598">
        <v>46</v>
      </c>
      <c r="B38" s="1716" t="s">
        <v>33</v>
      </c>
      <c r="C38" s="1717"/>
      <c r="D38" s="1718" t="e">
        <f>ROUND((D37+IF(E37="",0,E37))/(C30*365),4)</f>
        <v>#VALUE!</v>
      </c>
      <c r="E38" s="1719"/>
      <c r="F38" s="402"/>
      <c r="G38" s="1080"/>
      <c r="H38" s="1720" t="s">
        <v>34</v>
      </c>
      <c r="I38" s="1721" t="str">
        <f>IF(SUM(D31:D35)=0,"",IF(SUM(E31:E35)=0,0,E37/(D37+E37)))</f>
        <v/>
      </c>
      <c r="J38" s="3983"/>
      <c r="K38" s="3999"/>
      <c r="L38" s="3999"/>
      <c r="M38" s="402"/>
      <c r="N38" s="1080"/>
      <c r="O38" s="4000"/>
      <c r="P38" s="4001"/>
      <c r="Q38" s="402"/>
    </row>
    <row r="39" spans="1:17" ht="13.5" thickBot="1">
      <c r="A39" s="1556"/>
      <c r="B39" s="1651"/>
      <c r="C39" s="401"/>
      <c r="D39" s="401"/>
      <c r="E39" s="401"/>
      <c r="F39" s="401"/>
      <c r="G39" s="401"/>
      <c r="H39" s="401"/>
      <c r="I39" s="1557"/>
      <c r="J39" s="1595"/>
      <c r="K39" s="401"/>
      <c r="L39" s="401"/>
      <c r="M39" s="401"/>
    </row>
    <row r="40" spans="1:17" ht="13.5" thickBot="1">
      <c r="A40" s="1556"/>
      <c r="B40" s="4328" t="s">
        <v>890</v>
      </c>
      <c r="C40" s="4329"/>
      <c r="D40" s="4329"/>
      <c r="E40" s="4329"/>
      <c r="F40" s="4330"/>
      <c r="G40" s="4326" t="str">
        <f>IF('Copy &amp; Paste'!F73="","",'Copy &amp; Paste'!F73)</f>
        <v/>
      </c>
      <c r="H40" s="4327"/>
      <c r="I40" s="1722" t="str">
        <f>IF(G40="","",G40/G37)</f>
        <v/>
      </c>
      <c r="J40" s="1595"/>
      <c r="K40" s="401"/>
      <c r="L40" s="401"/>
      <c r="M40" s="401"/>
    </row>
  </sheetData>
  <sheetProtection selectLockedCells="1"/>
  <mergeCells count="7">
    <mergeCell ref="J28:N28"/>
    <mergeCell ref="D28:F28"/>
    <mergeCell ref="B13:C13"/>
    <mergeCell ref="B26:C26"/>
    <mergeCell ref="G40:H40"/>
    <mergeCell ref="B40:F40"/>
    <mergeCell ref="B16:C16"/>
  </mergeCells>
  <phoneticPr fontId="0" type="noConversion"/>
  <conditionalFormatting sqref="D31:E36">
    <cfRule type="cellIs" dxfId="443" priority="28" operator="equal">
      <formula>0</formula>
    </cfRule>
    <cfRule type="cellIs" dxfId="442" priority="42" operator="equal">
      <formula>0</formula>
    </cfRule>
    <cfRule type="expression" dxfId="441" priority="48">
      <formula>0</formula>
    </cfRule>
  </conditionalFormatting>
  <conditionalFormatting sqref="F31:G36">
    <cfRule type="cellIs" dxfId="440" priority="43" operator="equal">
      <formula>0</formula>
    </cfRule>
    <cfRule type="expression" dxfId="439" priority="47">
      <formula>0</formula>
    </cfRule>
  </conditionalFormatting>
  <conditionalFormatting sqref="H31:H37">
    <cfRule type="containsErrors" dxfId="438" priority="46">
      <formula>ISERROR(H31)</formula>
    </cfRule>
  </conditionalFormatting>
  <conditionalFormatting sqref="I31:I36">
    <cfRule type="cellIs" dxfId="437" priority="41" operator="equal">
      <formula>0</formula>
    </cfRule>
  </conditionalFormatting>
  <conditionalFormatting sqref="I5:I10 I18:I23 H31:H36">
    <cfRule type="cellIs" dxfId="436" priority="35" operator="equal">
      <formula>0</formula>
    </cfRule>
  </conditionalFormatting>
  <conditionalFormatting sqref="D5:E10">
    <cfRule type="cellIs" dxfId="435" priority="31" operator="equal">
      <formula>0</formula>
    </cfRule>
  </conditionalFormatting>
  <conditionalFormatting sqref="D18:E23">
    <cfRule type="cellIs" dxfId="434" priority="32" operator="equal">
      <formula>0</formula>
    </cfRule>
  </conditionalFormatting>
  <conditionalFormatting sqref="F5:H10">
    <cfRule type="cellIs" dxfId="433" priority="30" operator="equal">
      <formula>0</formula>
    </cfRule>
  </conditionalFormatting>
  <conditionalFormatting sqref="F18:H23">
    <cfRule type="cellIs" dxfId="432" priority="29" operator="equal">
      <formula>0</formula>
    </cfRule>
  </conditionalFormatting>
  <conditionalFormatting sqref="F31:H36">
    <cfRule type="cellIs" dxfId="431" priority="27" operator="equal">
      <formula>0</formula>
    </cfRule>
  </conditionalFormatting>
  <conditionalFormatting sqref="H5:H7 D12 H11 H18:H24 D25 D38">
    <cfRule type="containsErrors" dxfId="430" priority="49">
      <formula>ISERROR(D5)</formula>
    </cfRule>
  </conditionalFormatting>
  <conditionalFormatting sqref="H8:H10">
    <cfRule type="containsErrors" dxfId="429" priority="14">
      <formula>ISERROR(H8)</formula>
    </cfRule>
  </conditionalFormatting>
  <conditionalFormatting sqref="E13 E26">
    <cfRule type="cellIs" dxfId="428" priority="13" operator="equal">
      <formula>0</formula>
    </cfRule>
  </conditionalFormatting>
  <conditionalFormatting sqref="I40">
    <cfRule type="containsErrors" dxfId="427" priority="12">
      <formula>ISERROR(I40)</formula>
    </cfRule>
  </conditionalFormatting>
  <conditionalFormatting sqref="C4 C15 C30">
    <cfRule type="cellIs" dxfId="426" priority="11" operator="equal">
      <formula>0</formula>
    </cfRule>
  </conditionalFormatting>
  <conditionalFormatting sqref="K31:L36">
    <cfRule type="cellIs" dxfId="425" priority="2" operator="equal">
      <formula>0</formula>
    </cfRule>
    <cfRule type="cellIs" dxfId="424" priority="5" operator="equal">
      <formula>0</formula>
    </cfRule>
    <cfRule type="expression" dxfId="423" priority="9">
      <formula>0</formula>
    </cfRule>
  </conditionalFormatting>
  <conditionalFormatting sqref="M31:N36">
    <cfRule type="cellIs" dxfId="422" priority="6" operator="equal">
      <formula>0</formula>
    </cfRule>
    <cfRule type="expression" dxfId="421" priority="8">
      <formula>0</formula>
    </cfRule>
  </conditionalFormatting>
  <conditionalFormatting sqref="O31:O37">
    <cfRule type="containsErrors" dxfId="420" priority="7">
      <formula>ISERROR(O31)</formula>
    </cfRule>
  </conditionalFormatting>
  <conditionalFormatting sqref="P31:P36">
    <cfRule type="cellIs" dxfId="419" priority="4" operator="equal">
      <formula>0</formula>
    </cfRule>
  </conditionalFormatting>
  <conditionalFormatting sqref="O31:O36">
    <cfRule type="cellIs" dxfId="418" priority="3" operator="equal">
      <formula>0</formula>
    </cfRule>
  </conditionalFormatting>
  <conditionalFormatting sqref="M31:O36">
    <cfRule type="cellIs" dxfId="417" priority="1" operator="equal">
      <formula>0</formula>
    </cfRule>
  </conditionalFormatting>
  <conditionalFormatting sqref="K38">
    <cfRule type="containsErrors" dxfId="416" priority="10">
      <formula>ISERROR(K38)</formula>
    </cfRule>
  </conditionalFormatting>
  <printOptions horizontalCentered="1" gridLinesSet="0"/>
  <pageMargins left="0.78740157480314965" right="0.27559055118110237" top="0.35433070866141736" bottom="0.43307086614173229" header="0.23622047244094491" footer="0.19685039370078741"/>
  <pageSetup paperSize="9" scale="84" orientation="portrait" r:id="rId1"/>
  <headerFooter alignWithMargins="0">
    <oddFooter>&amp;CSeite - 2 -</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6" id="{00CCE51D-6F84-437B-A713-664B9A607418}">
            <xm:f>'Copy &amp; Paste'!$C$19&lt;2017</xm:f>
            <x14:dxf>
              <fill>
                <patternFill>
                  <bgColor theme="0"/>
                </patternFill>
              </fill>
            </x14:dxf>
          </x14:cfRule>
          <xm:sqref>D5:E5 I5:I10</xm:sqref>
        </x14:conditionalFormatting>
        <x14:conditionalFormatting xmlns:xm="http://schemas.microsoft.com/office/excel/2006/main">
          <x14:cfRule type="expression" priority="25" id="{FC67107E-20CE-44B4-902C-09D1A35FE32E}">
            <xm:f>'Copy &amp; Paste'!$C$19&gt;=2017</xm:f>
            <x14:dxf>
              <font>
                <color theme="0"/>
              </font>
              <fill>
                <patternFill>
                  <bgColor theme="0"/>
                </patternFill>
              </fill>
            </x14:dxf>
          </x14:cfRule>
          <xm:sqref>B10:H10</xm:sqref>
        </x14:conditionalFormatting>
        <x14:conditionalFormatting xmlns:xm="http://schemas.microsoft.com/office/excel/2006/main">
          <x14:cfRule type="expression" priority="24" id="{AACAE4B8-741C-4A13-8CEB-638C53436FF4}">
            <xm:f>'Copy &amp; Paste'!$C$19&lt;2017</xm:f>
            <x14:dxf>
              <fill>
                <patternFill>
                  <bgColor theme="0"/>
                </patternFill>
              </fill>
            </x14:dxf>
          </x14:cfRule>
          <xm:sqref>I6:I10</xm:sqref>
        </x14:conditionalFormatting>
        <x14:conditionalFormatting xmlns:xm="http://schemas.microsoft.com/office/excel/2006/main">
          <x14:cfRule type="expression" priority="23" id="{F3F1116A-DDC2-4BBD-A955-9A6062F28C18}">
            <xm:f>'Copy &amp; Paste'!$C$19&lt;2017</xm:f>
            <x14:dxf>
              <fill>
                <patternFill>
                  <bgColor theme="0"/>
                </patternFill>
              </fill>
            </x14:dxf>
          </x14:cfRule>
          <xm:sqref>D18:H18 I18:I22</xm:sqref>
        </x14:conditionalFormatting>
        <x14:conditionalFormatting xmlns:xm="http://schemas.microsoft.com/office/excel/2006/main">
          <x14:cfRule type="expression" priority="22" id="{C7F3DD92-01A6-4948-93A9-8B327191C6A8}">
            <xm:f>'Copy &amp; Paste'!$C$19&gt;=2017</xm:f>
            <x14:dxf>
              <font>
                <color theme="0"/>
              </font>
              <fill>
                <patternFill>
                  <bgColor theme="0"/>
                </patternFill>
              </fill>
            </x14:dxf>
          </x14:cfRule>
          <xm:sqref>B23:I23</xm:sqref>
        </x14:conditionalFormatting>
        <x14:conditionalFormatting xmlns:xm="http://schemas.microsoft.com/office/excel/2006/main">
          <x14:cfRule type="expression" priority="21" id="{74D22A9F-3264-4212-A378-C8B26DB75D05}">
            <xm:f>'Copy &amp; Paste'!$C$19&lt;2017</xm:f>
            <x14:dxf>
              <fill>
                <patternFill>
                  <bgColor theme="0"/>
                </patternFill>
              </fill>
            </x14:dxf>
          </x14:cfRule>
          <xm:sqref>D18:I18</xm:sqref>
        </x14:conditionalFormatting>
        <x14:conditionalFormatting xmlns:xm="http://schemas.microsoft.com/office/excel/2006/main">
          <x14:cfRule type="expression" priority="19" id="{67760170-ACD4-47D3-B95F-D922C1795B10}">
            <xm:f>'Copy &amp; Paste'!$C$19&gt;=2017</xm:f>
            <x14:dxf>
              <font>
                <color theme="0"/>
              </font>
            </x14:dxf>
          </x14:cfRule>
          <xm:sqref>I16</xm:sqref>
        </x14:conditionalFormatting>
        <x14:conditionalFormatting xmlns:xm="http://schemas.microsoft.com/office/excel/2006/main">
          <x14:cfRule type="expression" priority="18" id="{3B395F11-4985-4D42-915A-BC97808E899B}">
            <xm:f>'Copy &amp; Paste'!$C$19&gt;=2017</xm:f>
            <x14:dxf>
              <font>
                <color theme="0"/>
              </font>
            </x14:dxf>
          </x14:cfRule>
          <xm:sqref>I3</xm:sqref>
        </x14:conditionalFormatting>
        <x14:conditionalFormatting xmlns:xm="http://schemas.microsoft.com/office/excel/2006/main">
          <x14:cfRule type="expression" priority="17" id="{D55F28E2-3353-47BA-94BB-CDAB8DE0DF71}">
            <xm:f>'Copy &amp; Paste'!$C$19&gt;=2017</xm:f>
            <x14:dxf>
              <fill>
                <patternFill>
                  <bgColor theme="0"/>
                </patternFill>
              </fill>
            </x14:dxf>
          </x14:cfRule>
          <xm:sqref>N19 I5:I10 I18:I22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111</vt:i4>
      </vt:variant>
    </vt:vector>
  </HeadingPairs>
  <TitlesOfParts>
    <vt:vector size="141" baseType="lpstr">
      <vt:lpstr>Mod</vt:lpstr>
      <vt:lpstr>Copy &amp; Paste</vt:lpstr>
      <vt:lpstr>Überleitung 113c</vt:lpstr>
      <vt:lpstr>Überleitung 113c_Prüfung</vt:lpstr>
      <vt:lpstr>Bestandsschutz_2023</vt:lpstr>
      <vt:lpstr>Personalmenge 113c</vt:lpstr>
      <vt:lpstr>Übergangsregelung</vt:lpstr>
      <vt:lpstr>Seite 1</vt:lpstr>
      <vt:lpstr>Belegung</vt:lpstr>
      <vt:lpstr>Personalkosten</vt:lpstr>
      <vt:lpstr>Sachkosten</vt:lpstr>
      <vt:lpstr>Berechnungen</vt:lpstr>
      <vt:lpstr>Ergebnis</vt:lpstr>
      <vt:lpstr>Pauschal</vt:lpstr>
      <vt:lpstr>Schaltjahr</vt:lpstr>
      <vt:lpstr>Protokoll</vt:lpstr>
      <vt:lpstr>Kurzzeitpflege</vt:lpstr>
      <vt:lpstr>Ergänzungsvereinbarung 01-2025</vt:lpstr>
      <vt:lpstr> VV_2024-25</vt:lpstr>
      <vt:lpstr> VV</vt:lpstr>
      <vt:lpstr> VV+</vt:lpstr>
      <vt:lpstr>VV KZP fix flex</vt:lpstr>
      <vt:lpstr>VV KZP WTG-Erlass</vt:lpstr>
      <vt:lpstr>Budgetveränderungswert</vt:lpstr>
      <vt:lpstr>84 8 Übersicht</vt:lpstr>
      <vt:lpstr>84 8 Nachweis</vt:lpstr>
      <vt:lpstr>84 9 Nachweis</vt:lpstr>
      <vt:lpstr>VV 84 9</vt:lpstr>
      <vt:lpstr>Vorab 84 9</vt:lpstr>
      <vt:lpstr>84 9 Auszug für Kostenträger</vt:lpstr>
      <vt:lpstr>Bestandsschutz_2023!Abwesenheit</vt:lpstr>
      <vt:lpstr>Budgetveränderungswert!Abwesenheit</vt:lpstr>
      <vt:lpstr>'Überleitung 113c_Prüfung'!Abwesenheit</vt:lpstr>
      <vt:lpstr>Abwesenheit</vt:lpstr>
      <vt:lpstr>Bestandsschutz_2023!Auslastung</vt:lpstr>
      <vt:lpstr>Budgetveränderungswert!Auslastung</vt:lpstr>
      <vt:lpstr>'Überleitung 113c_Prüfung'!Auslastung</vt:lpstr>
      <vt:lpstr>Auslastung</vt:lpstr>
      <vt:lpstr>Bestandsschutz_2023!Berechnungstage</vt:lpstr>
      <vt:lpstr>Budgetveränderungswert!Berechnungstage</vt:lpstr>
      <vt:lpstr>'Überleitung 113c_Prüfung'!Berechnungstage</vt:lpstr>
      <vt:lpstr>Berechnungstage</vt:lpstr>
      <vt:lpstr>Bestandsschutz_2023!BT_abgel</vt:lpstr>
      <vt:lpstr>Budgetveränderungswert!BT_abgel</vt:lpstr>
      <vt:lpstr>'Überleitung 113c_Prüfung'!BT_abgel</vt:lpstr>
      <vt:lpstr>BT_abgel</vt:lpstr>
      <vt:lpstr>Bestandsschutz_2023!BT_lfd</vt:lpstr>
      <vt:lpstr>Budgetveränderungswert!BT_lfd</vt:lpstr>
      <vt:lpstr>'Überleitung 113c_Prüfung'!BT_lfd</vt:lpstr>
      <vt:lpstr>BT_lfd</vt:lpstr>
      <vt:lpstr>Bestandsschutz_2023!BT_pros</vt:lpstr>
      <vt:lpstr>Budgetveränderungswert!BT_pros</vt:lpstr>
      <vt:lpstr>'Überleitung 113c_Prüfung'!BT_pros</vt:lpstr>
      <vt:lpstr>BT_pros</vt:lpstr>
      <vt:lpstr>'84 8 Übersicht'!Datenbereich</vt:lpstr>
      <vt:lpstr>Bestandsschutz_2023!Datenbereich</vt:lpstr>
      <vt:lpstr>Budgetveränderungswert!Datenbereich</vt:lpstr>
      <vt:lpstr>Datenbereich</vt:lpstr>
      <vt:lpstr>Datenbereich_2</vt:lpstr>
      <vt:lpstr>Datenbereich2</vt:lpstr>
      <vt:lpstr>' VV'!Druckbereich</vt:lpstr>
      <vt:lpstr>' VV_2024-25'!Druckbereich</vt:lpstr>
      <vt:lpstr>' VV+'!Druckbereich</vt:lpstr>
      <vt:lpstr>'84 8 Angebot'!Druckbereich</vt:lpstr>
      <vt:lpstr>'84 8 Nachweis'!Druckbereich</vt:lpstr>
      <vt:lpstr>'84 8 Übersicht'!Druckbereich</vt:lpstr>
      <vt:lpstr>'84 8 Vorbereitung'!Druckbereich</vt:lpstr>
      <vt:lpstr>'84 9 Nachweis'!Druckbereich</vt:lpstr>
      <vt:lpstr>Abschlussarbeiten!Druckbereich</vt:lpstr>
      <vt:lpstr>Belegung!Druckbereich</vt:lpstr>
      <vt:lpstr>Berechnungen!Druckbereich</vt:lpstr>
      <vt:lpstr>Bestandsschutz_2023!Druckbereich</vt:lpstr>
      <vt:lpstr>Budgetveränderungswert!Druckbereich</vt:lpstr>
      <vt:lpstr>'Copy &amp; Paste'!Druckbereich</vt:lpstr>
      <vt:lpstr>'Ergänzungsvereinbarung 01-2025'!Druckbereich</vt:lpstr>
      <vt:lpstr>Ergebnis!Druckbereich</vt:lpstr>
      <vt:lpstr>Kurzzeitpflege!Druckbereich</vt:lpstr>
      <vt:lpstr>Mod!Druckbereich</vt:lpstr>
      <vt:lpstr>Pauschal!Druckbereich</vt:lpstr>
      <vt:lpstr>'Personalabgleich I'!Druckbereich</vt:lpstr>
      <vt:lpstr>'Personalabgleich II'!Druckbereich</vt:lpstr>
      <vt:lpstr>Personalkosten!Druckbereich</vt:lpstr>
      <vt:lpstr>'Personalmenge 113c'!Druckbereich</vt:lpstr>
      <vt:lpstr>Protokoll!Druckbereich</vt:lpstr>
      <vt:lpstr>Sachkosten!Druckbereich</vt:lpstr>
      <vt:lpstr>'Seite 1'!Druckbereich</vt:lpstr>
      <vt:lpstr>Übergangsregelung!Druckbereich</vt:lpstr>
      <vt:lpstr>'Überleitung 113c_Prüfung'!Druckbereich</vt:lpstr>
      <vt:lpstr>'Vorab 84 9'!Druckbereich</vt:lpstr>
      <vt:lpstr>'VV 84 9'!Druckbereich</vt:lpstr>
      <vt:lpstr>'VV KZP fix flex'!Druckbereich</vt:lpstr>
      <vt:lpstr>'VV KZP WTG-Erlass'!Druckbereich</vt:lpstr>
      <vt:lpstr>Sachkosten!Drucktitel</vt:lpstr>
      <vt:lpstr>Bestandsschutz_2023!Gewicht</vt:lpstr>
      <vt:lpstr>Budgetveränderungswert!Gewicht</vt:lpstr>
      <vt:lpstr>'Überleitung 113c_Prüfung'!Gewicht</vt:lpstr>
      <vt:lpstr>Gewicht</vt:lpstr>
      <vt:lpstr>Bestandsschutz_2023!IK</vt:lpstr>
      <vt:lpstr>Budgetveränderungswert!IK</vt:lpstr>
      <vt:lpstr>'Überleitung 113c_Prüfung'!IK</vt:lpstr>
      <vt:lpstr>IK</vt:lpstr>
      <vt:lpstr>Budgetveränderungswert!Kurzzeitpflege</vt:lpstr>
      <vt:lpstr>Kurzzeitpflege</vt:lpstr>
      <vt:lpstr>KzP</vt:lpstr>
      <vt:lpstr>Bestandsschutz_2023!Landesteil</vt:lpstr>
      <vt:lpstr>Budgetveränderungswert!Landesteil</vt:lpstr>
      <vt:lpstr>'Überleitung 113c_Prüfung'!Landesteil</vt:lpstr>
      <vt:lpstr>Landesteil</vt:lpstr>
      <vt:lpstr>Multiplikator</vt:lpstr>
      <vt:lpstr>Bestandsschutz_2023!Name</vt:lpstr>
      <vt:lpstr>Budgetveränderungswert!Name</vt:lpstr>
      <vt:lpstr>'Überleitung 113c_Prüfung'!Name</vt:lpstr>
      <vt:lpstr>Name</vt:lpstr>
      <vt:lpstr>Name2</vt:lpstr>
      <vt:lpstr>Bestandsschutz_2023!Ort</vt:lpstr>
      <vt:lpstr>Ort</vt:lpstr>
      <vt:lpstr>'84 8 Übersicht'!Ort_Einrichtung</vt:lpstr>
      <vt:lpstr>'84 8 Übersicht'!Ort_Träger</vt:lpstr>
      <vt:lpstr>Bestandsschutz_2023!Ort_Träger</vt:lpstr>
      <vt:lpstr>Budgetveränderungswert!Ort_Träger</vt:lpstr>
      <vt:lpstr>Ort_Träger</vt:lpstr>
      <vt:lpstr>Pauschal?</vt:lpstr>
      <vt:lpstr>Bestandsschutz_2023!Platzzahl</vt:lpstr>
      <vt:lpstr>Budgetveränderungswert!Platzzahl</vt:lpstr>
      <vt:lpstr>'Überleitung 113c_Prüfung'!Platzzahl</vt:lpstr>
      <vt:lpstr>Platzzahl</vt:lpstr>
      <vt:lpstr>PLZ</vt:lpstr>
      <vt:lpstr>Bestandsschutz_2023!Schaltjahr2</vt:lpstr>
      <vt:lpstr>Budgetveränderungswert!Schaltjahr2</vt:lpstr>
      <vt:lpstr>'Überleitung 113c_Prüfung'!Schaltjahr2</vt:lpstr>
      <vt:lpstr>Schaltjahr2</vt:lpstr>
      <vt:lpstr>Straße</vt:lpstr>
      <vt:lpstr>SVW</vt:lpstr>
      <vt:lpstr>Bestandsschutz_2023!Träger</vt:lpstr>
      <vt:lpstr>Budgetveränderungswert!Träger</vt:lpstr>
      <vt:lpstr>'Überleitung 113c_Prüfung'!Träger</vt:lpstr>
      <vt:lpstr>Träger</vt:lpstr>
      <vt:lpstr>Bestandsschutz_2023!Träger2</vt:lpstr>
      <vt:lpstr>Budgetveränderungswert!Träger2</vt:lpstr>
      <vt:lpstr>'Überleitung 113c_Prüfung'!Träger2</vt:lpstr>
      <vt:lpstr>Träger2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Kalkulationsschema stationäre Pflegeeinrichtungen in NRW</dc:title>
  <dc:creator>Vehlow, Jutta</dc:creator>
  <cp:keywords>Version 2022_2; Stand: 04.03.2022</cp:keywords>
  <cp:lastModifiedBy>Wildt, Niklas</cp:lastModifiedBy>
  <cp:lastPrinted>2025-02-04T14:59:54Z</cp:lastPrinted>
  <dcterms:created xsi:type="dcterms:W3CDTF">2000-11-28T14:56:28Z</dcterms:created>
  <dcterms:modified xsi:type="dcterms:W3CDTF">2025-04-03T12:26:29Z</dcterms:modified>
  <cp:category>Kalkulationschemata</cp:category>
</cp:coreProperties>
</file>